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/>
  <xr:revisionPtr revIDLastSave="0" documentId="13_ncr:1_{7C12BF35-4E31-470A-8D72-967A3F06AC41}" xr6:coauthVersionLast="36" xr6:coauthVersionMax="36" xr10:uidLastSave="{00000000-0000-0000-0000-000000000000}"/>
  <bookViews>
    <workbookView xWindow="0" yWindow="0" windowWidth="28800" windowHeight="12296" activeTab="1" xr2:uid="{00000000-000D-0000-FFFF-FFFF00000000}"/>
  </bookViews>
  <sheets>
    <sheet name="Texte" sheetId="2" r:id="rId1"/>
    <sheet name="Tabelle1" sheetId="1" r:id="rId2"/>
  </sheets>
  <externalReferences>
    <externalReference r:id="rId3"/>
  </externalReferences>
  <definedNames>
    <definedName name="PVT_system">"Picture 3"</definedName>
    <definedName name="system">INDEX('[1]Linked Picture'!$G$19:$G$24, MATCH('[1]Linked Picture'!$H$20,'[1]Linked Picture'!$F$19:$F$24,0))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H10" i="1" l="1"/>
  <c r="H11" i="1"/>
  <c r="H12" i="1"/>
  <c r="H13" i="1"/>
  <c r="H14" i="1"/>
  <c r="C27" i="1"/>
  <c r="C26" i="1"/>
  <c r="D21" i="1" l="1"/>
  <c r="D22" i="1" l="1"/>
  <c r="AI22" i="1"/>
  <c r="AI21" i="1"/>
  <c r="AH22" i="1"/>
  <c r="AH26" i="1"/>
  <c r="F13" i="1" l="1"/>
  <c r="AG22" i="1"/>
  <c r="AG23" i="1"/>
  <c r="AE22" i="1"/>
  <c r="AE23" i="1"/>
  <c r="AD22" i="1"/>
  <c r="AD23" i="1"/>
  <c r="AC22" i="1"/>
  <c r="AC23" i="1"/>
  <c r="AB22" i="1"/>
  <c r="AB23" i="1"/>
  <c r="X23" i="1"/>
  <c r="X22" i="1"/>
  <c r="L23" i="1"/>
  <c r="L22" i="1"/>
  <c r="P23" i="1"/>
  <c r="AO23" i="1" s="1"/>
  <c r="P22" i="1"/>
  <c r="AL22" i="1" s="1"/>
  <c r="AK22" i="1" l="1"/>
  <c r="AJ22" i="1"/>
  <c r="AK23" i="1"/>
  <c r="AF23" i="1"/>
  <c r="AH23" i="1"/>
  <c r="AO22" i="1"/>
  <c r="AL23" i="1"/>
  <c r="AF22" i="1"/>
  <c r="AJ23" i="1"/>
  <c r="AI23" i="1"/>
  <c r="D27" i="1"/>
  <c r="D26" i="1"/>
  <c r="AG30" i="1" l="1"/>
  <c r="AG29" i="1"/>
  <c r="AG28" i="1"/>
  <c r="AG27" i="1"/>
  <c r="AG26" i="1"/>
  <c r="AG24" i="1"/>
  <c r="AG21" i="1"/>
  <c r="AD30" i="1"/>
  <c r="AD29" i="1"/>
  <c r="AD28" i="1"/>
  <c r="AD21" i="1"/>
  <c r="AE30" i="1"/>
  <c r="AE29" i="1"/>
  <c r="AE28" i="1"/>
  <c r="AE27" i="1"/>
  <c r="AE26" i="1"/>
  <c r="AE24" i="1"/>
  <c r="AE21" i="1"/>
  <c r="AC30" i="1"/>
  <c r="AC29" i="1"/>
  <c r="AC28" i="1"/>
  <c r="AC27" i="1"/>
  <c r="AC26" i="1"/>
  <c r="AC24" i="1"/>
  <c r="AC21" i="1"/>
  <c r="X21" i="1"/>
  <c r="P21" i="1"/>
  <c r="L21" i="1"/>
  <c r="AB24" i="1"/>
  <c r="F14" i="1"/>
  <c r="F12" i="1"/>
  <c r="AL21" i="1" l="1"/>
  <c r="AH21" i="1"/>
  <c r="AF21" i="1"/>
  <c r="AJ21" i="1"/>
  <c r="AF28" i="1"/>
  <c r="AF29" i="1"/>
  <c r="AF30" i="1"/>
  <c r="AO21" i="1"/>
  <c r="AR23" i="1"/>
  <c r="AS23" i="1" s="1"/>
  <c r="AT23" i="1"/>
  <c r="AU23" i="1" s="1"/>
  <c r="AR22" i="1"/>
  <c r="AS22" i="1" s="1"/>
  <c r="AT22" i="1"/>
  <c r="AU22" i="1" s="1"/>
  <c r="AK21" i="1"/>
  <c r="P24" i="1"/>
  <c r="AL24" i="1" l="1"/>
  <c r="AK24" i="1"/>
  <c r="AI24" i="1"/>
  <c r="AH24" i="1"/>
  <c r="AJ24" i="1"/>
  <c r="AO24" i="1"/>
  <c r="P27" i="1"/>
  <c r="P28" i="1"/>
  <c r="P29" i="1"/>
  <c r="P30" i="1"/>
  <c r="P26" i="1"/>
  <c r="D24" i="1"/>
  <c r="AT21" i="1"/>
  <c r="AU21" i="1" s="1"/>
  <c r="AI26" i="1" l="1"/>
  <c r="AO26" i="1"/>
  <c r="AI28" i="1"/>
  <c r="AK28" i="1"/>
  <c r="AH28" i="1"/>
  <c r="AJ28" i="1"/>
  <c r="AQ24" i="1"/>
  <c r="AQ23" i="1"/>
  <c r="AQ21" i="1"/>
  <c r="AQ22" i="1"/>
  <c r="AI30" i="1"/>
  <c r="AK30" i="1"/>
  <c r="AJ30" i="1"/>
  <c r="AH30" i="1"/>
  <c r="AK29" i="1"/>
  <c r="AI29" i="1"/>
  <c r="AH29" i="1"/>
  <c r="AJ29" i="1"/>
  <c r="AN23" i="1"/>
  <c r="AN21" i="1"/>
  <c r="AN22" i="1"/>
  <c r="AN24" i="1"/>
  <c r="AK27" i="1"/>
  <c r="AI27" i="1"/>
  <c r="AH27" i="1"/>
  <c r="AJ27" i="1"/>
  <c r="AK26" i="1"/>
  <c r="AJ26" i="1"/>
  <c r="AO27" i="1"/>
  <c r="AL27" i="1"/>
  <c r="AL26" i="1"/>
  <c r="AP27" i="1"/>
  <c r="AM26" i="1"/>
  <c r="AP26" i="1"/>
  <c r="AB21" i="1" l="1"/>
  <c r="AN26" i="1"/>
  <c r="AM27" i="1"/>
  <c r="AQ26" i="1"/>
  <c r="X24" i="1" l="1"/>
  <c r="AN27" i="1"/>
  <c r="AQ27" i="1"/>
  <c r="AT24" i="1" l="1"/>
  <c r="AR24" i="1"/>
  <c r="L24" i="1"/>
  <c r="AD24" i="1" s="1"/>
  <c r="AF24" i="1" s="1"/>
  <c r="AR21" i="1" l="1"/>
  <c r="AS21" i="1" s="1"/>
  <c r="AU24" i="1"/>
  <c r="AS24" i="1"/>
  <c r="L30" i="1" l="1"/>
  <c r="L29" i="1"/>
  <c r="AB28" i="1"/>
  <c r="L28" i="1"/>
  <c r="L27" i="1"/>
  <c r="AD27" i="1" s="1"/>
  <c r="AF27" i="1" s="1"/>
  <c r="F11" i="1"/>
  <c r="E2" i="2"/>
  <c r="F2" i="2"/>
  <c r="F1" i="2"/>
  <c r="C67" i="2" l="1"/>
  <c r="C72" i="2"/>
  <c r="A5" i="1" s="1"/>
  <c r="AL30" i="1"/>
  <c r="AO30" i="1"/>
  <c r="AO29" i="1"/>
  <c r="AL29" i="1"/>
  <c r="AL28" i="1"/>
  <c r="AO28" i="1"/>
  <c r="AB30" i="1"/>
  <c r="X29" i="1"/>
  <c r="AB29" i="1"/>
  <c r="AB27" i="1"/>
  <c r="C11" i="2"/>
  <c r="C75" i="2"/>
  <c r="C78" i="2"/>
  <c r="C68" i="2"/>
  <c r="A2" i="1" s="1"/>
  <c r="C76" i="2"/>
  <c r="C79" i="2"/>
  <c r="C80" i="2"/>
  <c r="C81" i="2"/>
  <c r="C69" i="2"/>
  <c r="C17" i="1" s="1"/>
  <c r="C77" i="2"/>
  <c r="C73" i="2"/>
  <c r="A7" i="1" s="1"/>
  <c r="C74" i="2"/>
  <c r="A13" i="1" s="1"/>
  <c r="C70" i="2"/>
  <c r="A25" i="1" s="1"/>
  <c r="C71" i="2"/>
  <c r="B25" i="1" s="1"/>
  <c r="X30" i="1"/>
  <c r="AT30" i="1" s="1"/>
  <c r="X28" i="1"/>
  <c r="AT28" i="1" s="1"/>
  <c r="X27" i="1"/>
  <c r="AT27" i="1" s="1"/>
  <c r="C39" i="2"/>
  <c r="C53" i="2"/>
  <c r="C45" i="2"/>
  <c r="C44" i="2"/>
  <c r="C49" i="2"/>
  <c r="C40" i="2"/>
  <c r="C47" i="2"/>
  <c r="C54" i="2"/>
  <c r="C60" i="2"/>
  <c r="C52" i="2"/>
  <c r="C59" i="2"/>
  <c r="C51" i="2"/>
  <c r="C43" i="2"/>
  <c r="C50" i="2"/>
  <c r="C42" i="2"/>
  <c r="C57" i="2"/>
  <c r="C48" i="2"/>
  <c r="C46" i="2"/>
  <c r="C58" i="2"/>
  <c r="C41" i="2"/>
  <c r="C56" i="2"/>
  <c r="C55" i="2"/>
  <c r="C66" i="2"/>
  <c r="C9" i="2"/>
  <c r="A10" i="1" s="1"/>
  <c r="C64" i="2"/>
  <c r="C65" i="2"/>
  <c r="C8" i="2"/>
  <c r="A9" i="1" s="1"/>
  <c r="C16" i="2"/>
  <c r="C17" i="2"/>
  <c r="A15" i="1" s="1"/>
  <c r="C24" i="2"/>
  <c r="C63" i="2"/>
  <c r="G17" i="1" s="1"/>
  <c r="C25" i="2"/>
  <c r="C32" i="2"/>
  <c r="C2" i="2"/>
  <c r="A1" i="1" s="1"/>
  <c r="C61" i="2"/>
  <c r="C3" i="2"/>
  <c r="C19" i="2"/>
  <c r="C27" i="2"/>
  <c r="C35" i="2"/>
  <c r="C33" i="2"/>
  <c r="C62" i="2"/>
  <c r="C10" i="2"/>
  <c r="C4" i="2"/>
  <c r="C5" i="2"/>
  <c r="C21" i="2"/>
  <c r="C37" i="2"/>
  <c r="C6" i="2"/>
  <c r="C38" i="2"/>
  <c r="C18" i="2"/>
  <c r="A16" i="1" s="1"/>
  <c r="C26" i="2"/>
  <c r="C34" i="2"/>
  <c r="C12" i="2"/>
  <c r="C20" i="2"/>
  <c r="C28" i="2"/>
  <c r="C36" i="2"/>
  <c r="C13" i="2"/>
  <c r="C29" i="2"/>
  <c r="C14" i="2"/>
  <c r="A11" i="1" s="1"/>
  <c r="C22" i="2"/>
  <c r="C30" i="2"/>
  <c r="C7" i="2"/>
  <c r="C15" i="2"/>
  <c r="A12" i="1" s="1"/>
  <c r="C23" i="2"/>
  <c r="C31" i="2"/>
  <c r="AD19" i="1"/>
  <c r="AS19" i="1"/>
  <c r="AP19" i="1"/>
  <c r="X19" i="1"/>
  <c r="AM28" i="1"/>
  <c r="AN19" i="1"/>
  <c r="AP29" i="1"/>
  <c r="AT19" i="1"/>
  <c r="AB19" i="1"/>
  <c r="F19" i="1"/>
  <c r="J19" i="1"/>
  <c r="AF19" i="1"/>
  <c r="Q19" i="1"/>
  <c r="M19" i="1"/>
  <c r="AL19" i="1"/>
  <c r="R19" i="1"/>
  <c r="V19" i="1"/>
  <c r="AO19" i="1"/>
  <c r="P19" i="1"/>
  <c r="AJ19" i="1"/>
  <c r="AE19" i="1"/>
  <c r="AR19" i="1"/>
  <c r="H19" i="1"/>
  <c r="I19" i="1"/>
  <c r="O19" i="1"/>
  <c r="S19" i="1"/>
  <c r="N19" i="1"/>
  <c r="AI19" i="1"/>
  <c r="Y19" i="1"/>
  <c r="L19" i="1"/>
  <c r="D19" i="1"/>
  <c r="U19" i="1"/>
  <c r="G19" i="1"/>
  <c r="AP28" i="1"/>
  <c r="T19" i="1"/>
  <c r="AM30" i="1"/>
  <c r="W19" i="1"/>
  <c r="AM29" i="1"/>
  <c r="AG19" i="1"/>
  <c r="Z19" i="1"/>
  <c r="AU19" i="1"/>
  <c r="A19" i="1"/>
  <c r="AC19" i="1"/>
  <c r="B19" i="1"/>
  <c r="AQ19" i="1"/>
  <c r="AM19" i="1"/>
  <c r="C19" i="1"/>
  <c r="AH19" i="1"/>
  <c r="K19" i="1"/>
  <c r="E19" i="1"/>
  <c r="AK19" i="1"/>
  <c r="AP30" i="1"/>
  <c r="A14" i="1" l="1"/>
  <c r="AR29" i="1"/>
  <c r="AS29" i="1" s="1"/>
  <c r="AT29" i="1"/>
  <c r="AU29" i="1" s="1"/>
  <c r="AR30" i="1"/>
  <c r="AS30" i="1" s="1"/>
  <c r="A8" i="1"/>
  <c r="A6" i="1"/>
  <c r="AU27" i="1"/>
  <c r="AR27" i="1"/>
  <c r="AS27" i="1" s="1"/>
  <c r="AR28" i="1"/>
  <c r="AS28" i="1" s="1"/>
  <c r="AU30" i="1"/>
  <c r="AU28" i="1"/>
  <c r="A3" i="1"/>
  <c r="A4" i="1"/>
  <c r="AL17" i="1"/>
  <c r="AA17" i="1"/>
  <c r="AR17" i="1"/>
  <c r="AN28" i="1"/>
  <c r="AN29" i="1"/>
  <c r="AQ29" i="1"/>
  <c r="AQ28" i="1"/>
  <c r="AQ30" i="1"/>
  <c r="AN30" i="1"/>
  <c r="X26" i="1" l="1"/>
  <c r="AT26" i="1" s="1"/>
  <c r="AB26" i="1"/>
  <c r="L26" i="1"/>
  <c r="AD26" i="1" s="1"/>
  <c r="AF26" i="1" s="1"/>
  <c r="AU26" i="1" l="1"/>
  <c r="AR26" i="1"/>
  <c r="AS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A19" authorId="0" shapeId="0" xr:uid="{00000000-0006-0000-0100-000001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elPreformanceratio:</t>
        </r>
        <r>
          <rPr>
            <b/>
            <sz val="12"/>
            <color indexed="81"/>
            <rFont val="Segoe UI"/>
            <family val="2"/>
          </rPr>
          <t xml:space="preserve">
(</t>
        </r>
        <r>
          <rPr>
            <sz val="12"/>
            <color indexed="81"/>
            <rFont val="Segoe UI"/>
            <family val="2"/>
          </rPr>
          <t>el Solarertarg)  / (G*A*ηSTC) 
(gemessen/simuliert) / (theoretisch möglich)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C19" authorId="0" shapeId="0" xr:uid="{00000000-0006-0000-0100-000002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= Spalte AA</t>
        </r>
      </text>
    </comment>
    <comment ref="AD19" authorId="0" shapeId="0" xr:uid="{00000000-0006-0000-0100-000003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Solar(th)Nutzungsgrad</t>
        </r>
        <r>
          <rPr>
            <sz val="14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 xml:space="preserve">=(L18/H18)/I18 = L18/(H18*I18)
= Solarertrag(el) / G*A
</t>
        </r>
      </text>
    </comment>
    <comment ref="AF19" authorId="0" shapeId="0" xr:uid="{00000000-0006-0000-0100-000004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Gesamter Nutzungsgrad EL + TH?
Können Nutzungsgrade "einfach" Multipliziert werden?
Bei Mischung el + th
NutzungEL + NutzungTH
50%           +     70%            </t>
        </r>
        <r>
          <rPr>
            <b/>
            <sz val="12"/>
            <color indexed="81"/>
            <rFont val="Segoe UI"/>
            <family val="2"/>
          </rPr>
          <t>=120%???</t>
        </r>
      </text>
    </comment>
    <comment ref="AG19" authorId="0" shapeId="0" xr:uid="{00000000-0006-0000-0100-000005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Solar(th)Deckungsgrad
=(J18/(J18+R18+S18))
Solarertrag(th, senke) / ( (Solarertrag(th, senke) + Wärme (WP) + Wärme (Gaskessel) )
Solarertrag(th) / Wärmebereitstellung(gesamt)</t>
        </r>
      </text>
    </comment>
    <comment ref="AI19" authorId="0" shapeId="0" xr:uid="{00000000-0006-0000-0100-000006000000}">
      <text>
        <r>
          <rPr>
            <b/>
            <sz val="12"/>
            <color indexed="81"/>
            <rFont val="Segoe UI"/>
            <family val="2"/>
          </rPr>
          <t>Author:</t>
        </r>
        <r>
          <rPr>
            <sz val="12"/>
            <color indexed="81"/>
            <rFont val="Segoe UI"/>
            <family val="2"/>
          </rPr>
          <t xml:space="preserve">
Arbeitszahl bSt 
=(R18)/(P18)
Wärme (vm WP) / Stromverbrauch (WP) System)</t>
        </r>
      </text>
    </comment>
  </commentList>
</comments>
</file>

<file path=xl/sharedStrings.xml><?xml version="1.0" encoding="utf-8"?>
<sst xmlns="http://schemas.openxmlformats.org/spreadsheetml/2006/main" count="212" uniqueCount="173">
  <si>
    <t>kWh</t>
  </si>
  <si>
    <t>m²</t>
  </si>
  <si>
    <t>%</t>
  </si>
  <si>
    <t>Performance factor (SHP)</t>
  </si>
  <si>
    <t>Performance factor (bSt)</t>
  </si>
  <si>
    <t>Performance factor (SHP,Grid)</t>
  </si>
  <si>
    <t>Performance factor (bSt,Grid)</t>
  </si>
  <si>
    <t>Global constants</t>
  </si>
  <si>
    <t>Vergleichssysteme</t>
  </si>
  <si>
    <t>Primary energy savings</t>
  </si>
  <si>
    <r>
      <t>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-eq./kWh</t>
    </r>
    <r>
      <rPr>
        <vertAlign val="subscript"/>
        <sz val="11"/>
        <color theme="1"/>
        <rFont val="Calibri"/>
        <family val="2"/>
        <scheme val="minor"/>
      </rPr>
      <t>el</t>
    </r>
  </si>
  <si>
    <t>Primary energy consumption</t>
  </si>
  <si>
    <t>Fractional non-renewable energy savings</t>
  </si>
  <si>
    <t>Electricity consumption HP-System+Aux from grid</t>
  </si>
  <si>
    <t xml:space="preserve">Emissions of CO2-equivalents </t>
  </si>
  <si>
    <t xml:space="preserve">Reduction of Emissions of CO2-equivalents </t>
  </si>
  <si>
    <r>
      <t>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-eq./kWh</t>
    </r>
    <r>
      <rPr>
        <vertAlign val="subscript"/>
        <sz val="11"/>
        <color theme="1"/>
        <rFont val="Calibri"/>
        <family val="2"/>
        <scheme val="minor"/>
      </rPr>
      <t>gas</t>
    </r>
  </si>
  <si>
    <t>€/a</t>
  </si>
  <si>
    <t>€</t>
  </si>
  <si>
    <r>
      <t>€/kWh</t>
    </r>
    <r>
      <rPr>
        <vertAlign val="subscript"/>
        <sz val="11"/>
        <color theme="1"/>
        <rFont val="Calibri"/>
        <family val="2"/>
        <scheme val="minor"/>
      </rPr>
      <t>el</t>
    </r>
  </si>
  <si>
    <r>
      <t>€/kWh</t>
    </r>
    <r>
      <rPr>
        <vertAlign val="subscript"/>
        <sz val="11"/>
        <color theme="1"/>
        <rFont val="Calibri"/>
        <family val="2"/>
        <scheme val="minor"/>
      </rPr>
      <t>gas</t>
    </r>
  </si>
  <si>
    <t>a</t>
  </si>
  <si>
    <r>
      <t>€/kWh</t>
    </r>
    <r>
      <rPr>
        <vertAlign val="subscript"/>
        <sz val="11"/>
        <color theme="1"/>
        <rFont val="Calibri"/>
        <family val="2"/>
        <scheme val="minor"/>
      </rPr>
      <t>PV</t>
    </r>
  </si>
  <si>
    <t>Levelized costs of heat and cold</t>
  </si>
  <si>
    <t>€/kWh</t>
  </si>
  <si>
    <t>Levelized costs of energy</t>
  </si>
  <si>
    <t>annual household electricity demand</t>
  </si>
  <si>
    <r>
      <t>kWh</t>
    </r>
    <r>
      <rPr>
        <vertAlign val="subscript"/>
        <sz val="11"/>
        <color theme="1"/>
        <rFont val="Calibri"/>
        <family val="2"/>
        <scheme val="minor"/>
      </rPr>
      <t>el</t>
    </r>
  </si>
  <si>
    <t>NN</t>
  </si>
  <si>
    <t>Irradiation on collector pane</t>
  </si>
  <si>
    <t>Economic KPIs</t>
  </si>
  <si>
    <t>Ecologic KPIs</t>
  </si>
  <si>
    <t>Energy-related KPIs</t>
  </si>
  <si>
    <t xml:space="preserve">Input (results from measurement or simulation) </t>
  </si>
  <si>
    <t>VAT</t>
  </si>
  <si>
    <t>Globale Konstanten</t>
  </si>
  <si>
    <t xml:space="preserve">Heat from Heat pump (incl. Internal Backup) Qcond + Qaux ,int </t>
  </si>
  <si>
    <t>Deutsch</t>
  </si>
  <si>
    <t>English</t>
  </si>
  <si>
    <t>Primärenergiefaktor Netzstrom</t>
  </si>
  <si>
    <t>Primärenergiefaktor Erdgas</t>
  </si>
  <si>
    <t>Emissionsfaktor Netzstrom</t>
  </si>
  <si>
    <t>Emissionsfaktor Erdgas</t>
  </si>
  <si>
    <t>Jährlicher Haushaltsstromverbrauch</t>
  </si>
  <si>
    <t>USt.</t>
  </si>
  <si>
    <t>Investitionskosten (ohne USt.)</t>
  </si>
  <si>
    <t>Förderung</t>
  </si>
  <si>
    <t>Jährliche Wartungskosten</t>
  </si>
  <si>
    <t>Residualwert</t>
  </si>
  <si>
    <t>Preis für Netzstrom</t>
  </si>
  <si>
    <t>Preis für Erdgas</t>
  </si>
  <si>
    <t>Einspeisevergütung PV</t>
  </si>
  <si>
    <t>Analyse Zeitraum</t>
  </si>
  <si>
    <t>Interner Zinsfuß</t>
  </si>
  <si>
    <t>Einstrahlung auf Kollektorebene</t>
  </si>
  <si>
    <t xml:space="preserve">Stromverbrauch des Wärmepumpensystems </t>
  </si>
  <si>
    <t>Wärme von Wärmepumpe (inkl. interner Heizstab)</t>
  </si>
  <si>
    <t>Wärmeverbrauch für Raumheizung</t>
  </si>
  <si>
    <t>Wärmeverbrauch für Trinkwarmwasser</t>
  </si>
  <si>
    <t>Wärmeverbrauch für TWW-Zirkulation</t>
  </si>
  <si>
    <t>Kälteverbrauch für Klimatisierung</t>
  </si>
  <si>
    <t>PV Einspeisung ins Netz</t>
  </si>
  <si>
    <t>PV Einspeisung an den Haushalt</t>
  </si>
  <si>
    <t>PV Einspeisung ins WP-System</t>
  </si>
  <si>
    <t>with VAT</t>
  </si>
  <si>
    <t>without VAT</t>
  </si>
  <si>
    <t>mit USt.</t>
  </si>
  <si>
    <t>ohne USt.</t>
  </si>
  <si>
    <t>Eingabewerte (Ergebnisse von Messung oder Simulation)</t>
  </si>
  <si>
    <t>Energiebezogene Kennzahlen</t>
  </si>
  <si>
    <t>Ökologische Kennzahlen</t>
  </si>
  <si>
    <t>Wirtschaftliche Kennzahlen</t>
  </si>
  <si>
    <t>Self consumed EPV_el_self</t>
  </si>
  <si>
    <t>Solar-thermal utilization ratio wPVT,th</t>
  </si>
  <si>
    <t>Solar-electric utilization ratio wPVT,el,AC</t>
  </si>
  <si>
    <t>Total utilization ratio wPVT</t>
  </si>
  <si>
    <t xml:space="preserve">Solar thermal fraction fsol,th </t>
  </si>
  <si>
    <t>Fractional savings of CO2-equiv.</t>
  </si>
  <si>
    <t>Selbst-genutzter PV Strom</t>
  </si>
  <si>
    <t xml:space="preserve">elektrischer Performance ratio </t>
  </si>
  <si>
    <t>Solarthermischer Nutzungsgrad</t>
  </si>
  <si>
    <t>Solarelektrischer Nutzungsgrad</t>
  </si>
  <si>
    <t>Gesamter Nutzungsgrad</t>
  </si>
  <si>
    <t>Solarthermischer Deckungsgrad</t>
  </si>
  <si>
    <t>Arbeitszahl (SHP)</t>
  </si>
  <si>
    <t>Arbeitszahl (bSt)</t>
  </si>
  <si>
    <t>Arbeitszahl (SHP,Grid)</t>
  </si>
  <si>
    <t>Arbeitszahl (bSt, Grid)</t>
  </si>
  <si>
    <t>Emissionen CO2-Äq.</t>
  </si>
  <si>
    <t>Emissionsminderung CO2-Äq.</t>
  </si>
  <si>
    <t>Relative Emissionsminderung CO2-Äq.</t>
  </si>
  <si>
    <t>Wärmegestehungskosten (Wärme und Kälte)</t>
  </si>
  <si>
    <t>Lebenszykluskosten (Energie)</t>
  </si>
  <si>
    <t>Lebenszykluskosten (Wärme und Kälte)</t>
  </si>
  <si>
    <t>Solarthermie + Gaskessel</t>
  </si>
  <si>
    <t>Solarertrag (thermisch, auf Senkenseite)</t>
  </si>
  <si>
    <t>Solar output Thermal to source side of heat pump</t>
  </si>
  <si>
    <t>Solar output Thermal to sink side of heat pump</t>
  </si>
  <si>
    <t>Solarertrag (thermisch, auf Quellenseite)</t>
  </si>
  <si>
    <t>Gesamter Solarertrag (thermisch)</t>
  </si>
  <si>
    <t xml:space="preserve">Total solar output, thermal </t>
  </si>
  <si>
    <t xml:space="preserve">Solar output, electrical (AC) </t>
  </si>
  <si>
    <t>Solarertrag (elektrisch, AC)</t>
  </si>
  <si>
    <t>PV fed into the grid</t>
  </si>
  <si>
    <t>PV fed into Household</t>
  </si>
  <si>
    <t>PV fed into HP system</t>
  </si>
  <si>
    <t>Eingabefelder</t>
  </si>
  <si>
    <t>Wirtschaftliche Parameter</t>
  </si>
  <si>
    <t>Language</t>
  </si>
  <si>
    <t>Sprache</t>
  </si>
  <si>
    <t>Elektrischer Wirkungsgrad bei STC Bedingungen</t>
  </si>
  <si>
    <t>Primary non-renewable energy factor grid electricity</t>
  </si>
  <si>
    <t>Primary non-renewable energy factor natural gas (upper heating value)</t>
  </si>
  <si>
    <r>
      <t>Energy-related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-equiv. Emissions of grid electricity</t>
    </r>
  </si>
  <si>
    <r>
      <t>Energy-related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-equiv. Emissions of natural gas</t>
    </r>
  </si>
  <si>
    <t xml:space="preserve">Initial investment costs (without VAT) </t>
  </si>
  <si>
    <t>Subsidies</t>
  </si>
  <si>
    <t>Annual maintenance costs</t>
  </si>
  <si>
    <t xml:space="preserve">Residual value </t>
  </si>
  <si>
    <t xml:space="preserve">Price for grid electricity </t>
  </si>
  <si>
    <t>Price for natural gas</t>
  </si>
  <si>
    <t>Feed-in tarif for PV electricity</t>
  </si>
  <si>
    <t>Period of analysis</t>
  </si>
  <si>
    <t>Real discount rate</t>
  </si>
  <si>
    <t>Electrical performance ratio PRPVT</t>
  </si>
  <si>
    <r>
      <t>Electricity consumption of HP System (HP + utility) E</t>
    </r>
    <r>
      <rPr>
        <vertAlign val="subscript"/>
        <sz val="11"/>
        <color theme="1"/>
        <rFont val="Calibri"/>
        <family val="2"/>
        <scheme val="minor"/>
      </rPr>
      <t>HP</t>
    </r>
    <r>
      <rPr>
        <sz val="11"/>
        <color theme="1"/>
        <rFont val="Calibri"/>
        <family val="2"/>
        <scheme val="minor"/>
      </rPr>
      <t xml:space="preserve"> + E</t>
    </r>
    <r>
      <rPr>
        <vertAlign val="subscript"/>
        <sz val="11"/>
        <color theme="1"/>
        <rFont val="Calibri"/>
        <family val="2"/>
        <scheme val="minor"/>
      </rPr>
      <t xml:space="preserve">util </t>
    </r>
  </si>
  <si>
    <r>
      <t>Electricity consumption of internal Backup Heater E</t>
    </r>
    <r>
      <rPr>
        <vertAlign val="subscript"/>
        <sz val="11"/>
        <color theme="1"/>
        <rFont val="Calibri"/>
        <family val="2"/>
        <scheme val="minor"/>
      </rPr>
      <t>aux</t>
    </r>
  </si>
  <si>
    <r>
      <t>Stromverbrauch des Wärmepumpensystems (WP+Hilfsenergie) E</t>
    </r>
    <r>
      <rPr>
        <vertAlign val="subscript"/>
        <sz val="11"/>
        <color theme="1"/>
        <rFont val="Calibri"/>
        <family val="2"/>
        <scheme val="minor"/>
      </rPr>
      <t>HP</t>
    </r>
    <r>
      <rPr>
        <sz val="11"/>
        <color theme="1"/>
        <rFont val="Calibri"/>
        <family val="2"/>
        <scheme val="minor"/>
      </rPr>
      <t>+E</t>
    </r>
    <r>
      <rPr>
        <vertAlign val="subscript"/>
        <sz val="11"/>
        <color theme="1"/>
        <rFont val="Calibri"/>
        <family val="2"/>
        <scheme val="minor"/>
      </rPr>
      <t>util</t>
    </r>
  </si>
  <si>
    <r>
      <t>Stromverbrauch des internen Elektroheizstabs E</t>
    </r>
    <r>
      <rPr>
        <vertAlign val="subscript"/>
        <sz val="11"/>
        <color theme="1"/>
        <rFont val="Calibri"/>
        <family val="2"/>
        <scheme val="minor"/>
      </rPr>
      <t>aux</t>
    </r>
  </si>
  <si>
    <t>Heat consumption for space heating QSH</t>
  </si>
  <si>
    <t>Heat consumption for DHW QDHW</t>
  </si>
  <si>
    <t>Heat consumption for DHW-circulation Qcirc</t>
  </si>
  <si>
    <t>Cooling consumption for air conditioning</t>
  </si>
  <si>
    <t xml:space="preserve">Total life cycle cost </t>
  </si>
  <si>
    <t>Total life cycle cost of energy</t>
  </si>
  <si>
    <t>Primärenergie-verbrauch</t>
  </si>
  <si>
    <t>Primärenergie-einsparung (absolut)</t>
  </si>
  <si>
    <t>Primärenergie-einsparung (relativ)</t>
  </si>
  <si>
    <t>Energiegestehungs-kosten</t>
  </si>
  <si>
    <t>Electrical efficiency of PV at STC conditions</t>
  </si>
  <si>
    <t>Total Cost</t>
  </si>
  <si>
    <t>Gesamtkosten</t>
  </si>
  <si>
    <t>Economic parameter</t>
  </si>
  <si>
    <t>Systems to be compared</t>
  </si>
  <si>
    <t>Compare with</t>
  </si>
  <si>
    <t>Vergleiche mit</t>
  </si>
  <si>
    <t>Nummer / Beschreibung</t>
  </si>
  <si>
    <t>Number / Description</t>
  </si>
  <si>
    <t>Luft-Wärmepumpe</t>
  </si>
  <si>
    <t>Brutto-Fläche, PV</t>
  </si>
  <si>
    <t>Gross area, PV</t>
  </si>
  <si>
    <t>Gross area, PVT or ST</t>
  </si>
  <si>
    <t>Brutto-Fläche, (PV)T oder ST</t>
  </si>
  <si>
    <t>kWh/a</t>
  </si>
  <si>
    <r>
      <t>t CO</t>
    </r>
    <r>
      <rPr>
        <b/>
        <vertAlign val="subscript"/>
        <sz val="11"/>
        <color rgb="FFFFFFFF"/>
        <rFont val="Calibri"/>
        <family val="2"/>
        <scheme val="minor"/>
      </rPr>
      <t>2</t>
    </r>
    <r>
      <rPr>
        <b/>
        <sz val="11"/>
        <color rgb="FFFFFFFF"/>
        <rFont val="Calibri"/>
        <family val="2"/>
        <scheme val="minor"/>
      </rPr>
      <t>-eq./a</t>
    </r>
  </si>
  <si>
    <t>PVT Wärmepumpensystem (45 %)</t>
  </si>
  <si>
    <t>PVT Wärmepumpensystem (35 %)</t>
  </si>
  <si>
    <t>kWh/m²/a</t>
  </si>
  <si>
    <t>Gaskessel</t>
  </si>
  <si>
    <t>Primary non-renewable energy factor mineral oil (upper heating value)</t>
  </si>
  <si>
    <t>Primärenergiefaktor Heizöl</t>
  </si>
  <si>
    <t>Verbrauch Spitzenkessel (Gas, Öl)</t>
  </si>
  <si>
    <t>Consumption backup-Heater Qaux (Gas, oil)</t>
  </si>
  <si>
    <t>Wärme vom Spitzenkessel (Gas, Öl)</t>
  </si>
  <si>
    <t>Heat from external Backup-Heater Qaux ,ext (Gas, oil)</t>
  </si>
  <si>
    <t>Emissionsfaktor Heizöl</t>
  </si>
  <si>
    <r>
      <t>Energy-related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-equiv. Emissions of mineral oil</t>
    </r>
  </si>
  <si>
    <r>
      <t>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-eq./kWh</t>
    </r>
    <r>
      <rPr>
        <vertAlign val="subscript"/>
        <sz val="11"/>
        <color theme="1"/>
        <rFont val="Calibri"/>
        <family val="2"/>
        <scheme val="minor"/>
      </rPr>
      <t>oil</t>
    </r>
  </si>
  <si>
    <t>Price for mineral oil</t>
  </si>
  <si>
    <t>Preis für Heizöl</t>
  </si>
  <si>
    <r>
      <t>€/kWh</t>
    </r>
    <r>
      <rPr>
        <vertAlign val="subscript"/>
        <sz val="11"/>
        <color theme="1"/>
        <rFont val="Calibri"/>
        <family val="2"/>
        <scheme val="minor"/>
      </rPr>
      <t>oil</t>
    </r>
  </si>
  <si>
    <t>Version 6</t>
  </si>
  <si>
    <t>PV-LuftWärmepumpe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</si>
</sst>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1"/>
      <name val="Segoe U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5B9BD5"/>
      </bottom>
      <diagonal/>
    </border>
    <border>
      <left/>
      <right style="medium">
        <color indexed="64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indexed="64"/>
      </right>
      <top style="medium">
        <color rgb="FF9CC2E5"/>
      </top>
      <bottom style="medium">
        <color rgb="FF9CC2E5"/>
      </bottom>
      <diagonal/>
    </border>
    <border>
      <left style="medium">
        <color indexed="64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 diagonalUp="1"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auto="1"/>
      </left>
      <right style="medium">
        <color rgb="FF9CC2E5"/>
      </right>
      <top style="medium">
        <color rgb="FF9CC2E5"/>
      </top>
      <bottom style="medium">
        <color indexed="64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rgb="FF9CC2E5"/>
      </top>
      <bottom style="medium">
        <color rgb="FF9CC2E5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-0.499984740745262"/>
      </bottom>
      <diagonal/>
    </border>
    <border>
      <left/>
      <right/>
      <top style="medium">
        <color indexed="64"/>
      </top>
      <bottom style="thin">
        <color theme="4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/>
      <top/>
      <bottom style="medium">
        <color rgb="FF9CC2E5"/>
      </bottom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auto="1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medium">
        <color rgb="FF5B9BD5"/>
      </top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/>
      <top style="thin">
        <color theme="4" tint="-0.499984740745262"/>
      </top>
      <bottom style="medium">
        <color rgb="FF9CC2E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6" fillId="4" borderId="3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9" fontId="0" fillId="4" borderId="0" xfId="2" applyFont="1" applyFill="1"/>
    <xf numFmtId="0" fontId="2" fillId="0" borderId="0" xfId="0" applyFont="1"/>
    <xf numFmtId="0" fontId="0" fillId="5" borderId="0" xfId="0" applyFill="1"/>
    <xf numFmtId="0" fontId="0" fillId="4" borderId="0" xfId="1" applyNumberFormat="1" applyFont="1" applyFill="1"/>
    <xf numFmtId="0" fontId="9" fillId="0" borderId="0" xfId="0" applyFont="1"/>
    <xf numFmtId="0" fontId="6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6" fillId="4" borderId="13" xfId="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/>
    <xf numFmtId="0" fontId="2" fillId="0" borderId="17" xfId="0" applyFont="1" applyBorder="1"/>
    <xf numFmtId="0" fontId="0" fillId="0" borderId="17" xfId="0" applyBorder="1"/>
    <xf numFmtId="0" fontId="9" fillId="0" borderId="17" xfId="0" applyFont="1" applyBorder="1"/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0" xfId="3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4" borderId="13" xfId="2" applyFont="1" applyFill="1" applyBorder="1" applyAlignment="1">
      <alignment horizontal="center" vertical="center"/>
    </xf>
    <xf numFmtId="9" fontId="0" fillId="4" borderId="13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4" fontId="0" fillId="4" borderId="15" xfId="1" applyNumberFormat="1" applyFont="1" applyFill="1" applyBorder="1" applyAlignment="1">
      <alignment horizontal="center" vertical="center"/>
    </xf>
    <xf numFmtId="2" fontId="0" fillId="4" borderId="13" xfId="1" applyNumberFormat="1" applyFont="1" applyFill="1" applyBorder="1" applyAlignment="1">
      <alignment horizontal="center" vertical="center"/>
    </xf>
    <xf numFmtId="164" fontId="0" fillId="4" borderId="13" xfId="1" applyNumberFormat="1" applyFont="1" applyFill="1" applyBorder="1" applyAlignment="1">
      <alignment horizontal="center" vertical="center"/>
    </xf>
    <xf numFmtId="2" fontId="0" fillId="4" borderId="14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65" fontId="0" fillId="4" borderId="13" xfId="2" applyNumberFormat="1" applyFont="1" applyFill="1" applyBorder="1" applyAlignment="1">
      <alignment horizontal="center" vertical="center"/>
    </xf>
    <xf numFmtId="0" fontId="0" fillId="6" borderId="0" xfId="0" applyFill="1"/>
    <xf numFmtId="9" fontId="0" fillId="6" borderId="0" xfId="2" applyFont="1" applyFill="1"/>
    <xf numFmtId="2" fontId="0" fillId="6" borderId="0" xfId="2" applyNumberFormat="1" applyFont="1" applyFill="1"/>
    <xf numFmtId="9" fontId="2" fillId="6" borderId="15" xfId="2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 wrapText="1"/>
    </xf>
    <xf numFmtId="9" fontId="2" fillId="6" borderId="19" xfId="2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9" fontId="16" fillId="4" borderId="0" xfId="2" applyFont="1" applyFill="1"/>
    <xf numFmtId="166" fontId="0" fillId="4" borderId="0" xfId="0" applyNumberFormat="1" applyFill="1"/>
    <xf numFmtId="0" fontId="15" fillId="2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7" borderId="22" xfId="0" applyFill="1" applyBorder="1"/>
    <xf numFmtId="0" fontId="0" fillId="7" borderId="23" xfId="0" applyFill="1" applyBorder="1" applyAlignment="1"/>
    <xf numFmtId="0" fontId="0" fillId="6" borderId="24" xfId="0" applyNumberFormat="1" applyFill="1" applyBorder="1" applyAlignment="1">
      <alignment wrapText="1"/>
    </xf>
    <xf numFmtId="0" fontId="16" fillId="0" borderId="0" xfId="0" applyFont="1"/>
    <xf numFmtId="1" fontId="0" fillId="4" borderId="15" xfId="0" applyNumberFormat="1" applyFill="1" applyBorder="1" applyAlignment="1">
      <alignment horizontal="center" vertical="center"/>
    </xf>
    <xf numFmtId="166" fontId="0" fillId="4" borderId="13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9" fontId="9" fillId="4" borderId="28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9" fontId="0" fillId="4" borderId="13" xfId="2" applyFon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9" fontId="0" fillId="4" borderId="29" xfId="2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9" fontId="9" fillId="4" borderId="34" xfId="2" applyFont="1" applyFill="1" applyBorder="1" applyAlignment="1">
      <alignment horizontal="center" vertical="center" wrapText="1"/>
    </xf>
    <xf numFmtId="9" fontId="9" fillId="9" borderId="28" xfId="2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</cellXfs>
  <cellStyles count="5">
    <cellStyle name="Currency" xfId="1" builtinId="4"/>
    <cellStyle name="Hyperlink" xfId="3" builtinId="8"/>
    <cellStyle name="Normal" xfId="0" builtinId="0"/>
    <cellStyle name="Percent" xfId="2" builtinId="5"/>
    <cellStyle name="Währung 2" xfId="4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880678437481"/>
          <c:y val="5.4663827801649308E-2"/>
          <c:w val="0.88782794821911271"/>
          <c:h val="0.6691795153476906"/>
        </c:manualLayout>
      </c:layout>
      <c:lineChart>
        <c:grouping val="standard"/>
        <c:varyColors val="0"/>
        <c:ser>
          <c:idx val="2"/>
          <c:order val="0"/>
          <c:tx>
            <c:strRef>
              <c:f>Tabelle1!$AH$19</c:f>
              <c:strCache>
                <c:ptCount val="1"/>
                <c:pt idx="0">
                  <c:v>Arbeitszahl (SHP)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5.1416452414579355E-3"/>
                  <c:y val="9.79886065740912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36-4446-97B8-06F3DDA65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(Tabelle1!$A$21:$A$22,Tabelle1!$A$26:$A$27)</c:f>
              <c:strCache>
                <c:ptCount val="4"/>
                <c:pt idx="0">
                  <c:v>Luft-Wärmepumpe</c:v>
                </c:pt>
                <c:pt idx="1">
                  <c:v>PV-LuftWärmepumpe</c:v>
                </c:pt>
                <c:pt idx="2">
                  <c:v>PVT Wärmepumpensystem (35 %)</c:v>
                </c:pt>
                <c:pt idx="3">
                  <c:v>PVT Wärmepumpensystem (45 %)</c:v>
                </c:pt>
              </c:strCache>
            </c:strRef>
          </c:cat>
          <c:val>
            <c:numRef>
              <c:f>(Tabelle1!$AH$21:$AH$22,Tabelle1!$AH$26:$AH$27)</c:f>
              <c:numCache>
                <c:formatCode>0.00</c:formatCode>
                <c:ptCount val="4"/>
                <c:pt idx="0">
                  <c:v>2.9415302372201806</c:v>
                </c:pt>
                <c:pt idx="1">
                  <c:v>2.8776978417266186</c:v>
                </c:pt>
                <c:pt idx="2">
                  <c:v>3.2308256880733945</c:v>
                </c:pt>
                <c:pt idx="3">
                  <c:v>3.2308256880733945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46-4DEC-A63C-3357E49C3227}"/>
            </c:ext>
          </c:extLst>
        </c:ser>
        <c:ser>
          <c:idx val="0"/>
          <c:order val="1"/>
          <c:tx>
            <c:strRef>
              <c:f>Tabelle1!$AJ$19</c:f>
              <c:strCache>
                <c:ptCount val="1"/>
                <c:pt idx="0">
                  <c:v>Arbeitszahl (SHP,Grid)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2.8279048828018554E-2"/>
                  <c:y val="-0.153982096045000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36-4446-97B8-06F3DDA65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(Tabelle1!$A$21:$A$22,Tabelle1!$A$26:$A$27)</c:f>
              <c:strCache>
                <c:ptCount val="4"/>
                <c:pt idx="0">
                  <c:v>Luft-Wärmepumpe</c:v>
                </c:pt>
                <c:pt idx="1">
                  <c:v>PV-LuftWärmepumpe</c:v>
                </c:pt>
                <c:pt idx="2">
                  <c:v>PVT Wärmepumpensystem (35 %)</c:v>
                </c:pt>
                <c:pt idx="3">
                  <c:v>PVT Wärmepumpensystem (45 %)</c:v>
                </c:pt>
              </c:strCache>
            </c:strRef>
          </c:cat>
          <c:val>
            <c:numRef>
              <c:f>(Tabelle1!$AJ$21:$AJ$22,Tabelle1!$AJ$26:$AJ$27)</c:f>
              <c:numCache>
                <c:formatCode>0.00</c:formatCode>
                <c:ptCount val="4"/>
                <c:pt idx="0">
                  <c:v>2.9415302372201806</c:v>
                </c:pt>
                <c:pt idx="1">
                  <c:v>3.5398230088495577</c:v>
                </c:pt>
                <c:pt idx="2">
                  <c:v>3.9579212371875561</c:v>
                </c:pt>
                <c:pt idx="3">
                  <c:v>3.9579212371875561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46-4DEC-A63C-3357E49C3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80864"/>
        <c:axId val="422182504"/>
      </c:lineChart>
      <c:catAx>
        <c:axId val="42218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0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2504"/>
        <c:crosses val="autoZero"/>
        <c:auto val="1"/>
        <c:lblAlgn val="ctr"/>
        <c:lblOffset val="100"/>
        <c:noMultiLvlLbl val="0"/>
      </c:catAx>
      <c:valAx>
        <c:axId val="42218250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Arbeitszahl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0864"/>
        <c:crosses val="autoZero"/>
        <c:crossBetween val="between"/>
      </c:val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5588211300568"/>
          <c:y val="5.4663827801649308E-2"/>
          <c:w val="0.71810160741190432"/>
          <c:h val="0.66917951534769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Tabelle1!$AL$19</c:f>
              <c:strCache>
                <c:ptCount val="1"/>
                <c:pt idx="0">
                  <c:v>Primärenergie-verbrauch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(Tabelle1!$AL$21:$AL$24,Tabelle1!$AL$26:$AL$27)</c:f>
              <c:numCache>
                <c:formatCode>0</c:formatCode>
                <c:ptCount val="6"/>
                <c:pt idx="0">
                  <c:v>5387.4000000000005</c:v>
                </c:pt>
                <c:pt idx="1">
                  <c:v>4474.8</c:v>
                </c:pt>
                <c:pt idx="2">
                  <c:v>11408.67</c:v>
                </c:pt>
                <c:pt idx="3">
                  <c:v>8342.1500000000015</c:v>
                </c:pt>
                <c:pt idx="4">
                  <c:v>4003.92</c:v>
                </c:pt>
                <c:pt idx="5">
                  <c:v>4003.92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6-42B4-B8C0-FDCD0E394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80864"/>
        <c:axId val="422182504"/>
      </c:barChart>
      <c:lineChart>
        <c:grouping val="standard"/>
        <c:varyColors val="0"/>
        <c:ser>
          <c:idx val="0"/>
          <c:order val="1"/>
          <c:tx>
            <c:strRef>
              <c:f>Tabelle1!$AN$19</c:f>
              <c:strCache>
                <c:ptCount val="1"/>
                <c:pt idx="0">
                  <c:v>Primärenergie-einsparung (relativ)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(Tabelle1!$AN$21:$AN$24,Tabelle1!$AN$26:$AN$27)</c:f>
              <c:numCache>
                <c:formatCode>0%</c:formatCode>
                <c:ptCount val="6"/>
                <c:pt idx="0">
                  <c:v>-0.20394207562349162</c:v>
                </c:pt>
                <c:pt idx="1">
                  <c:v>0</c:v>
                </c:pt>
                <c:pt idx="2">
                  <c:v>-1.5495374094931615</c:v>
                </c:pt>
                <c:pt idx="3">
                  <c:v>-0.86425091624206696</c:v>
                </c:pt>
                <c:pt idx="4">
                  <c:v>0.10522928399034595</c:v>
                </c:pt>
                <c:pt idx="5">
                  <c:v>0.10522928399034595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46-42B4-B8C0-FDCD0E394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874928"/>
        <c:axId val="414741048"/>
      </c:lineChart>
      <c:catAx>
        <c:axId val="42218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9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2504"/>
        <c:crosses val="autoZero"/>
        <c:auto val="1"/>
        <c:lblAlgn val="ctr"/>
        <c:lblOffset val="100"/>
        <c:noMultiLvlLbl val="0"/>
      </c:catAx>
      <c:valAx>
        <c:axId val="422182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Primärenergie in kWh/a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0864"/>
        <c:crosses val="autoZero"/>
        <c:crossBetween val="between"/>
      </c:valAx>
      <c:valAx>
        <c:axId val="414741048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Einsparung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874928"/>
        <c:crosses val="max"/>
        <c:crossBetween val="between"/>
      </c:valAx>
      <c:catAx>
        <c:axId val="77187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741048"/>
        <c:crosses val="autoZero"/>
        <c:auto val="1"/>
        <c:lblAlgn val="ctr"/>
        <c:lblOffset val="100"/>
        <c:noMultiLvlLbl val="0"/>
      </c:cat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3094638863187"/>
          <c:y val="5.4663827801649308E-2"/>
          <c:w val="0.7412390109984649"/>
          <c:h val="0.66917951534769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Tabelle1!$AO$19</c:f>
              <c:strCache>
                <c:ptCount val="1"/>
                <c:pt idx="0">
                  <c:v>Emissionen CO2-Äq.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(Tabelle1!$AO$21:$AO$24,Tabelle1!$AO$26:$AO$27)</c:f>
              <c:numCache>
                <c:formatCode>0.000</c:formatCode>
                <c:ptCount val="6"/>
                <c:pt idx="0">
                  <c:v>1.67608</c:v>
                </c:pt>
                <c:pt idx="1">
                  <c:v>1.3921600000000001</c:v>
                </c:pt>
                <c:pt idx="2">
                  <c:v>2.5085679999999999</c:v>
                </c:pt>
                <c:pt idx="3">
                  <c:v>1.84988</c:v>
                </c:pt>
                <c:pt idx="4">
                  <c:v>1.2456640000000001</c:v>
                </c:pt>
                <c:pt idx="5">
                  <c:v>1.2456640000000001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B-4B97-A25C-1DA806FA6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80864"/>
        <c:axId val="422182504"/>
      </c:barChart>
      <c:lineChart>
        <c:grouping val="standard"/>
        <c:varyColors val="0"/>
        <c:ser>
          <c:idx val="0"/>
          <c:order val="1"/>
          <c:tx>
            <c:strRef>
              <c:f>Tabelle1!$AQ$19</c:f>
              <c:strCache>
                <c:ptCount val="1"/>
                <c:pt idx="0">
                  <c:v>Relative Emissionsminderung CO2-Äq.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(Tabelle1!$AQ$21:$AQ$24,Tabelle1!$AQ$26:$AQ$27)</c:f>
              <c:numCache>
                <c:formatCode>0%</c:formatCode>
                <c:ptCount val="6"/>
                <c:pt idx="0">
                  <c:v>-0.20394207562349151</c:v>
                </c:pt>
                <c:pt idx="1">
                  <c:v>0</c:v>
                </c:pt>
                <c:pt idx="2">
                  <c:v>-0.80192506608435798</c:v>
                </c:pt>
                <c:pt idx="3">
                  <c:v>-0.32878404781059639</c:v>
                </c:pt>
                <c:pt idx="4">
                  <c:v>0.10522928399034591</c:v>
                </c:pt>
                <c:pt idx="5">
                  <c:v>0.10522928399034591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B-4B97-A25C-1DA806FA6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874928"/>
        <c:axId val="414741048"/>
      </c:lineChart>
      <c:catAx>
        <c:axId val="42218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9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2504"/>
        <c:crosses val="autoZero"/>
        <c:auto val="1"/>
        <c:lblAlgn val="ctr"/>
        <c:lblOffset val="100"/>
        <c:noMultiLvlLbl val="0"/>
      </c:catAx>
      <c:valAx>
        <c:axId val="422182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CO2-Äq.-Emission in t/a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0864"/>
        <c:crosses val="autoZero"/>
        <c:crossBetween val="between"/>
      </c:valAx>
      <c:valAx>
        <c:axId val="414741048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Einsparung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874928"/>
        <c:crosses val="max"/>
        <c:crossBetween val="between"/>
      </c:valAx>
      <c:catAx>
        <c:axId val="77187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741048"/>
        <c:crosses val="autoZero"/>
        <c:auto val="1"/>
        <c:lblAlgn val="ctr"/>
        <c:lblOffset val="100"/>
        <c:noMultiLvlLbl val="0"/>
      </c:cat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3094638863187"/>
          <c:y val="5.4663827801649308E-2"/>
          <c:w val="0.7412390109984649"/>
          <c:h val="0.6691795153476906"/>
        </c:manualLayout>
      </c:layout>
      <c:lineChart>
        <c:grouping val="standard"/>
        <c:varyColors val="0"/>
        <c:ser>
          <c:idx val="2"/>
          <c:order val="0"/>
          <c:tx>
            <c:strRef>
              <c:f>Tabelle1!$AS$19</c:f>
              <c:strCache>
                <c:ptCount val="1"/>
                <c:pt idx="0">
                  <c:v>Wärmegestehungskosten (Wärme und Kälte)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2.3137403586560711E-2"/>
                  <c:y val="0.16331434429015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D-4BE8-902C-26BCC917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(Tabelle1!$AS$21:$AS$24,Tabelle1!$AS$26:$AS$27)</c:f>
              <c:numCache>
                <c:formatCode>0.00</c:formatCode>
                <c:ptCount val="6"/>
                <c:pt idx="0">
                  <c:v>0.17308090465687231</c:v>
                </c:pt>
                <c:pt idx="1">
                  <c:v>0.13920465479510491</c:v>
                </c:pt>
                <c:pt idx="2">
                  <c:v>0.12863096162622278</c:v>
                </c:pt>
                <c:pt idx="3">
                  <c:v>0.16636050835580429</c:v>
                </c:pt>
                <c:pt idx="4">
                  <c:v>0.13933559244201815</c:v>
                </c:pt>
                <c:pt idx="5">
                  <c:v>0.12498514761170451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28B-81AE-4ECB0359D316}"/>
            </c:ext>
          </c:extLst>
        </c:ser>
        <c:ser>
          <c:idx val="0"/>
          <c:order val="1"/>
          <c:tx>
            <c:strRef>
              <c:f>Tabelle1!$AU$19</c:f>
              <c:strCache>
                <c:ptCount val="1"/>
                <c:pt idx="0">
                  <c:v>Energiegestehungs-kosten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2.6993738731143146E-2"/>
                  <c:y val="-0.135317599554697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17558374373711"/>
                      <c:h val="0.127898462199801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6AD-4BE8-902C-26BCC917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(Tabelle1!$A$21:$A$24,Tabelle1!$A$26:$A$27)</c:f>
              <c:strCache>
                <c:ptCount val="6"/>
                <c:pt idx="0">
                  <c:v>Luft-Wärmepumpe</c:v>
                </c:pt>
                <c:pt idx="1">
                  <c:v>PV-LuftWärmepumpe</c:v>
                </c:pt>
                <c:pt idx="2">
                  <c:v>Gaskessel</c:v>
                </c:pt>
                <c:pt idx="3">
                  <c:v>Solarthermie + Gaskessel</c:v>
                </c:pt>
                <c:pt idx="4">
                  <c:v>PVT Wärmepumpensystem (35 %)</c:v>
                </c:pt>
                <c:pt idx="5">
                  <c:v>PVT Wärmepumpensystem (45 %)</c:v>
                </c:pt>
              </c:strCache>
            </c:strRef>
          </c:cat>
          <c:val>
            <c:numRef>
              <c:f>(Tabelle1!$AU$21:$AU$24,Tabelle1!$AU$26:$AU$27)</c:f>
              <c:numCache>
                <c:formatCode>0.00</c:formatCode>
                <c:ptCount val="6"/>
                <c:pt idx="0">
                  <c:v>0.19672720139765601</c:v>
                </c:pt>
                <c:pt idx="1">
                  <c:v>0.14550419134486051</c:v>
                </c:pt>
                <c:pt idx="2">
                  <c:v>0.16211079847789431</c:v>
                </c:pt>
                <c:pt idx="3">
                  <c:v>0.19149753977595019</c:v>
                </c:pt>
                <c:pt idx="4">
                  <c:v>0.14463469177808985</c:v>
                </c:pt>
                <c:pt idx="5">
                  <c:v>0.13345800066997934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28B-81AE-4ECB0359D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80864"/>
        <c:axId val="422182504"/>
      </c:lineChart>
      <c:catAx>
        <c:axId val="42218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9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2504"/>
        <c:crosses val="autoZero"/>
        <c:auto val="1"/>
        <c:lblAlgn val="ctr"/>
        <c:lblOffset val="100"/>
        <c:noMultiLvlLbl val="0"/>
      </c:catAx>
      <c:valAx>
        <c:axId val="42218250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Kosten in €/kWh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80864"/>
        <c:crosses val="autoZero"/>
        <c:crossBetween val="between"/>
      </c:val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16" fmlaLink="$C$2" fmlaRange="Texte!$F$1:$F$2" sel="2" val="0"/>
</file>

<file path=xl/ctrlProps/ctrlProp2.xml><?xml version="1.0" encoding="utf-8"?>
<formControlPr xmlns="http://schemas.microsoft.com/office/spreadsheetml/2009/9/main" objectType="Drop" dropLines="2" dropStyle="combo" dx="16" fmlaLink="$G$9" fmlaRange="Texte!$C$61:$C$62" sel="1" val="0"/>
</file>

<file path=xl/ctrlProps/ctrlProp3.xml><?xml version="1.0" encoding="utf-8"?>
<formControlPr xmlns="http://schemas.microsoft.com/office/spreadsheetml/2009/9/main" objectType="Drop" dropLines="4" dropStyle="combo" dx="16" fmlaLink="$C$25" fmlaRange="$A$21:$A$24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739471</xdr:colOff>
          <xdr:row>0</xdr:row>
          <xdr:rowOff>15903</xdr:rowOff>
        </xdr:from>
        <xdr:to>
          <xdr:col>3</xdr:col>
          <xdr:colOff>0</xdr:colOff>
          <xdr:row>1</xdr:row>
          <xdr:rowOff>174929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1184744</xdr:colOff>
          <xdr:row>7</xdr:row>
          <xdr:rowOff>159026</xdr:rowOff>
        </xdr:from>
        <xdr:to>
          <xdr:col>7</xdr:col>
          <xdr:colOff>31805</xdr:colOff>
          <xdr:row>9</xdr:row>
          <xdr:rowOff>31805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1447137</xdr:colOff>
          <xdr:row>23</xdr:row>
          <xdr:rowOff>222637</xdr:rowOff>
        </xdr:from>
        <xdr:to>
          <xdr:col>3</xdr:col>
          <xdr:colOff>993913</xdr:colOff>
          <xdr:row>25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1102161</xdr:colOff>
      <xdr:row>0</xdr:row>
      <xdr:rowOff>0</xdr:rowOff>
    </xdr:from>
    <xdr:to>
      <xdr:col>37</xdr:col>
      <xdr:colOff>1007690</xdr:colOff>
      <xdr:row>15</xdr:row>
      <xdr:rowOff>123177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55486</xdr:colOff>
      <xdr:row>0</xdr:row>
      <xdr:rowOff>9247</xdr:rowOff>
    </xdr:from>
    <xdr:to>
      <xdr:col>42</xdr:col>
      <xdr:colOff>297772</xdr:colOff>
      <xdr:row>15</xdr:row>
      <xdr:rowOff>132424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314418</xdr:colOff>
      <xdr:row>0</xdr:row>
      <xdr:rowOff>0</xdr:rowOff>
    </xdr:from>
    <xdr:to>
      <xdr:col>45</xdr:col>
      <xdr:colOff>1157796</xdr:colOff>
      <xdr:row>15</xdr:row>
      <xdr:rowOff>123177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94471</xdr:colOff>
      <xdr:row>0</xdr:row>
      <xdr:rowOff>15745</xdr:rowOff>
    </xdr:from>
    <xdr:to>
      <xdr:col>53</xdr:col>
      <xdr:colOff>188795</xdr:colOff>
      <xdr:row>15</xdr:row>
      <xdr:rowOff>138922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d%20Pictur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ed Pictu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G81"/>
  <sheetViews>
    <sheetView topLeftCell="A30" zoomScale="85" zoomScaleNormal="60" workbookViewId="0">
      <selection activeCell="C74" sqref="C74"/>
    </sheetView>
  </sheetViews>
  <sheetFormatPr defaultColWidth="11.44140625" defaultRowHeight="15.05" x14ac:dyDescent="0.3"/>
  <cols>
    <col min="1" max="1" width="65.109375" bestFit="1" customWidth="1"/>
    <col min="2" max="2" width="67.109375" bestFit="1" customWidth="1"/>
    <col min="3" max="3" width="65.109375" bestFit="1" customWidth="1"/>
  </cols>
  <sheetData>
    <row r="1" spans="1:7" ht="15.65" x14ac:dyDescent="0.3">
      <c r="A1" t="s">
        <v>38</v>
      </c>
      <c r="B1" t="s">
        <v>37</v>
      </c>
      <c r="F1" s="22" t="str">
        <f>A1</f>
        <v>English</v>
      </c>
      <c r="G1" t="s">
        <v>108</v>
      </c>
    </row>
    <row r="2" spans="1:7" ht="15.65" x14ac:dyDescent="0.3">
      <c r="A2" s="10" t="s">
        <v>7</v>
      </c>
      <c r="B2" t="s">
        <v>35</v>
      </c>
      <c r="C2" t="str">
        <f ca="1">OFFSET(A2:A38,0,$E$2)</f>
        <v>Globale Konstanten</v>
      </c>
      <c r="E2">
        <f>Tabelle1!C2-1</f>
        <v>1</v>
      </c>
      <c r="F2" s="22" t="str">
        <f>B1</f>
        <v>Deutsch</v>
      </c>
      <c r="G2" t="s">
        <v>109</v>
      </c>
    </row>
    <row r="3" spans="1:7" x14ac:dyDescent="0.3">
      <c r="A3" s="11" t="s">
        <v>139</v>
      </c>
      <c r="B3" t="s">
        <v>110</v>
      </c>
      <c r="C3" t="str">
        <f ca="1">OFFSET(A3:A39,0,$E$2)</f>
        <v>Elektrischer Wirkungsgrad bei STC Bedingungen</v>
      </c>
    </row>
    <row r="4" spans="1:7" x14ac:dyDescent="0.3">
      <c r="A4" s="11" t="s">
        <v>111</v>
      </c>
      <c r="B4" t="s">
        <v>39</v>
      </c>
      <c r="C4" t="str">
        <f t="shared" ref="C4:C10" ca="1" si="0">OFFSET(A4:A61,0,$E$2)</f>
        <v>Primärenergiefaktor Netzstrom</v>
      </c>
    </row>
    <row r="5" spans="1:7" x14ac:dyDescent="0.3">
      <c r="A5" s="11" t="s">
        <v>112</v>
      </c>
      <c r="B5" t="s">
        <v>40</v>
      </c>
      <c r="C5" t="str">
        <f t="shared" ca="1" si="0"/>
        <v>Primärenergiefaktor Erdgas</v>
      </c>
    </row>
    <row r="6" spans="1:7" ht="16.3" x14ac:dyDescent="0.35">
      <c r="A6" s="11" t="s">
        <v>113</v>
      </c>
      <c r="B6" t="s">
        <v>41</v>
      </c>
      <c r="C6" t="str">
        <f t="shared" ca="1" si="0"/>
        <v>Emissionsfaktor Netzstrom</v>
      </c>
    </row>
    <row r="7" spans="1:7" ht="16.3" x14ac:dyDescent="0.35">
      <c r="A7" s="11" t="s">
        <v>114</v>
      </c>
      <c r="B7" t="s">
        <v>42</v>
      </c>
      <c r="C7" t="str">
        <f t="shared" ca="1" si="0"/>
        <v>Emissionsfaktor Erdgas</v>
      </c>
    </row>
    <row r="8" spans="1:7" x14ac:dyDescent="0.3">
      <c r="A8" s="11" t="s">
        <v>26</v>
      </c>
      <c r="B8" t="s">
        <v>43</v>
      </c>
      <c r="C8" t="str">
        <f t="shared" ca="1" si="0"/>
        <v>Jährlicher Haushaltsstromverbrauch</v>
      </c>
    </row>
    <row r="9" spans="1:7" x14ac:dyDescent="0.3">
      <c r="A9" s="11" t="s">
        <v>34</v>
      </c>
      <c r="B9" t="s">
        <v>44</v>
      </c>
      <c r="C9" t="str">
        <f t="shared" ca="1" si="0"/>
        <v>USt.</v>
      </c>
    </row>
    <row r="10" spans="1:7" x14ac:dyDescent="0.3">
      <c r="A10" s="11" t="s">
        <v>115</v>
      </c>
      <c r="B10" t="s">
        <v>45</v>
      </c>
      <c r="C10" t="str">
        <f t="shared" ca="1" si="0"/>
        <v>Investitionskosten (ohne USt.)</v>
      </c>
    </row>
    <row r="11" spans="1:7" x14ac:dyDescent="0.3">
      <c r="A11" s="11" t="s">
        <v>116</v>
      </c>
      <c r="B11" t="s">
        <v>46</v>
      </c>
      <c r="C11" t="str">
        <f ca="1">OFFSET(A11:A69,0,$E$2)</f>
        <v>Förderung</v>
      </c>
    </row>
    <row r="12" spans="1:7" x14ac:dyDescent="0.3">
      <c r="A12" s="11" t="s">
        <v>117</v>
      </c>
      <c r="B12" t="s">
        <v>47</v>
      </c>
      <c r="C12" t="str">
        <f t="shared" ref="C12:C39" ca="1" si="1">OFFSET(A12:A69,0,$E$2)</f>
        <v>Jährliche Wartungskosten</v>
      </c>
    </row>
    <row r="13" spans="1:7" x14ac:dyDescent="0.3">
      <c r="A13" s="11" t="s">
        <v>118</v>
      </c>
      <c r="B13" t="s">
        <v>48</v>
      </c>
      <c r="C13" t="str">
        <f t="shared" ca="1" si="1"/>
        <v>Residualwert</v>
      </c>
    </row>
    <row r="14" spans="1:7" x14ac:dyDescent="0.3">
      <c r="A14" s="11" t="s">
        <v>119</v>
      </c>
      <c r="B14" t="s">
        <v>49</v>
      </c>
      <c r="C14" t="str">
        <f t="shared" ca="1" si="1"/>
        <v>Preis für Netzstrom</v>
      </c>
    </row>
    <row r="15" spans="1:7" x14ac:dyDescent="0.3">
      <c r="A15" s="11" t="s">
        <v>120</v>
      </c>
      <c r="B15" t="s">
        <v>50</v>
      </c>
      <c r="C15" t="str">
        <f t="shared" ca="1" si="1"/>
        <v>Preis für Erdgas</v>
      </c>
    </row>
    <row r="16" spans="1:7" x14ac:dyDescent="0.3">
      <c r="A16" s="11" t="s">
        <v>121</v>
      </c>
      <c r="B16" t="s">
        <v>51</v>
      </c>
      <c r="C16" t="str">
        <f t="shared" ca="1" si="1"/>
        <v>Einspeisevergütung PV</v>
      </c>
    </row>
    <row r="17" spans="1:7" x14ac:dyDescent="0.3">
      <c r="A17" s="11" t="s">
        <v>122</v>
      </c>
      <c r="B17" t="s">
        <v>52</v>
      </c>
      <c r="C17" t="str">
        <f t="shared" ca="1" si="1"/>
        <v>Analyse Zeitraum</v>
      </c>
    </row>
    <row r="18" spans="1:7" x14ac:dyDescent="0.3">
      <c r="A18" s="11" t="s">
        <v>123</v>
      </c>
      <c r="B18" t="s">
        <v>53</v>
      </c>
      <c r="C18" t="str">
        <f t="shared" ca="1" si="1"/>
        <v>Interner Zinsfuß</v>
      </c>
    </row>
    <row r="19" spans="1:7" x14ac:dyDescent="0.3">
      <c r="A19" s="11" t="s">
        <v>28</v>
      </c>
      <c r="B19" t="s">
        <v>28</v>
      </c>
      <c r="C19" t="str">
        <f t="shared" ca="1" si="1"/>
        <v>NN</v>
      </c>
    </row>
    <row r="20" spans="1:7" x14ac:dyDescent="0.3">
      <c r="A20" t="s">
        <v>147</v>
      </c>
      <c r="B20" t="s">
        <v>146</v>
      </c>
      <c r="C20" t="str">
        <f t="shared" ca="1" si="1"/>
        <v>Nummer / Beschreibung</v>
      </c>
    </row>
    <row r="21" spans="1:7" x14ac:dyDescent="0.3">
      <c r="A21" t="s">
        <v>151</v>
      </c>
      <c r="B21" t="s">
        <v>152</v>
      </c>
      <c r="C21" t="str">
        <f t="shared" ca="1" si="1"/>
        <v>Brutto-Fläche, (PV)T oder ST</v>
      </c>
    </row>
    <row r="22" spans="1:7" x14ac:dyDescent="0.3">
      <c r="A22" t="s">
        <v>29</v>
      </c>
      <c r="B22" t="s">
        <v>54</v>
      </c>
      <c r="C22" t="str">
        <f t="shared" ca="1" si="1"/>
        <v>Einstrahlung auf Kollektorebene</v>
      </c>
    </row>
    <row r="23" spans="1:7" x14ac:dyDescent="0.3">
      <c r="A23" t="s">
        <v>97</v>
      </c>
      <c r="B23" t="s">
        <v>95</v>
      </c>
      <c r="C23" t="str">
        <f t="shared" ca="1" si="1"/>
        <v>Solarertrag (thermisch, auf Senkenseite)</v>
      </c>
    </row>
    <row r="24" spans="1:7" x14ac:dyDescent="0.3">
      <c r="A24" t="s">
        <v>96</v>
      </c>
      <c r="B24" t="s">
        <v>98</v>
      </c>
      <c r="C24" t="str">
        <f t="shared" ca="1" si="1"/>
        <v>Solarertrag (thermisch, auf Quellenseite)</v>
      </c>
      <c r="G24" s="29"/>
    </row>
    <row r="25" spans="1:7" x14ac:dyDescent="0.3">
      <c r="A25" t="s">
        <v>100</v>
      </c>
      <c r="B25" t="s">
        <v>99</v>
      </c>
      <c r="C25" t="str">
        <f t="shared" ca="1" si="1"/>
        <v>Gesamter Solarertrag (thermisch)</v>
      </c>
    </row>
    <row r="26" spans="1:7" x14ac:dyDescent="0.3">
      <c r="A26" t="s">
        <v>101</v>
      </c>
      <c r="B26" t="s">
        <v>102</v>
      </c>
      <c r="C26" t="str">
        <f t="shared" ca="1" si="1"/>
        <v>Solarertrag (elektrisch, AC)</v>
      </c>
    </row>
    <row r="27" spans="1:7" ht="16.3" x14ac:dyDescent="0.35">
      <c r="A27" t="s">
        <v>125</v>
      </c>
      <c r="B27" t="s">
        <v>127</v>
      </c>
      <c r="C27" t="str">
        <f t="shared" ca="1" si="1"/>
        <v>Stromverbrauch des Wärmepumpensystems (WP+Hilfsenergie) EHP+Eutil</v>
      </c>
    </row>
    <row r="28" spans="1:7" ht="16.3" x14ac:dyDescent="0.35">
      <c r="A28" t="s">
        <v>126</v>
      </c>
      <c r="B28" t="s">
        <v>128</v>
      </c>
      <c r="C28" t="str">
        <f t="shared" ca="1" si="1"/>
        <v>Stromverbrauch des internen Elektroheizstabs Eaux</v>
      </c>
    </row>
    <row r="29" spans="1:7" x14ac:dyDescent="0.3">
      <c r="A29" t="s">
        <v>13</v>
      </c>
      <c r="B29" t="s">
        <v>55</v>
      </c>
      <c r="C29" t="str">
        <f t="shared" ca="1" si="1"/>
        <v xml:space="preserve">Stromverbrauch des Wärmepumpensystems </v>
      </c>
    </row>
    <row r="30" spans="1:7" x14ac:dyDescent="0.3">
      <c r="A30" t="s">
        <v>162</v>
      </c>
      <c r="B30" t="s">
        <v>161</v>
      </c>
      <c r="C30" t="str">
        <f t="shared" ca="1" si="1"/>
        <v>Verbrauch Spitzenkessel (Gas, Öl)</v>
      </c>
    </row>
    <row r="31" spans="1:7" x14ac:dyDescent="0.3">
      <c r="A31" t="s">
        <v>36</v>
      </c>
      <c r="B31" t="s">
        <v>56</v>
      </c>
      <c r="C31" t="str">
        <f t="shared" ca="1" si="1"/>
        <v>Wärme von Wärmepumpe (inkl. interner Heizstab)</v>
      </c>
    </row>
    <row r="32" spans="1:7" x14ac:dyDescent="0.3">
      <c r="A32" t="s">
        <v>164</v>
      </c>
      <c r="B32" t="s">
        <v>163</v>
      </c>
      <c r="C32" t="str">
        <f t="shared" ca="1" si="1"/>
        <v>Wärme vom Spitzenkessel (Gas, Öl)</v>
      </c>
    </row>
    <row r="33" spans="1:3" x14ac:dyDescent="0.3">
      <c r="A33" t="s">
        <v>129</v>
      </c>
      <c r="B33" t="s">
        <v>57</v>
      </c>
      <c r="C33" t="str">
        <f t="shared" ca="1" si="1"/>
        <v>Wärmeverbrauch für Raumheizung</v>
      </c>
    </row>
    <row r="34" spans="1:3" x14ac:dyDescent="0.3">
      <c r="A34" t="s">
        <v>130</v>
      </c>
      <c r="B34" t="s">
        <v>58</v>
      </c>
      <c r="C34" t="str">
        <f t="shared" ca="1" si="1"/>
        <v>Wärmeverbrauch für Trinkwarmwasser</v>
      </c>
    </row>
    <row r="35" spans="1:3" x14ac:dyDescent="0.3">
      <c r="A35" t="s">
        <v>131</v>
      </c>
      <c r="B35" t="s">
        <v>59</v>
      </c>
      <c r="C35" t="str">
        <f t="shared" ca="1" si="1"/>
        <v>Wärmeverbrauch für TWW-Zirkulation</v>
      </c>
    </row>
    <row r="36" spans="1:3" x14ac:dyDescent="0.3">
      <c r="A36" t="s">
        <v>132</v>
      </c>
      <c r="B36" t="s">
        <v>60</v>
      </c>
      <c r="C36" t="str">
        <f t="shared" ca="1" si="1"/>
        <v>Kälteverbrauch für Klimatisierung</v>
      </c>
    </row>
    <row r="37" spans="1:3" x14ac:dyDescent="0.3">
      <c r="A37" t="s">
        <v>103</v>
      </c>
      <c r="B37" t="s">
        <v>61</v>
      </c>
      <c r="C37" t="str">
        <f t="shared" ca="1" si="1"/>
        <v>PV Einspeisung ins Netz</v>
      </c>
    </row>
    <row r="38" spans="1:3" x14ac:dyDescent="0.3">
      <c r="A38" t="s">
        <v>104</v>
      </c>
      <c r="B38" t="s">
        <v>62</v>
      </c>
      <c r="C38" t="str">
        <f t="shared" ca="1" si="1"/>
        <v>PV Einspeisung an den Haushalt</v>
      </c>
    </row>
    <row r="39" spans="1:3" x14ac:dyDescent="0.3">
      <c r="A39" t="s">
        <v>105</v>
      </c>
      <c r="B39" t="s">
        <v>63</v>
      </c>
      <c r="C39" t="str">
        <f t="shared" ca="1" si="1"/>
        <v>PV Einspeisung ins WP-System</v>
      </c>
    </row>
    <row r="40" spans="1:3" s="75" customFormat="1" x14ac:dyDescent="0.3">
      <c r="A40" s="75" t="s">
        <v>150</v>
      </c>
      <c r="B40" s="75" t="s">
        <v>149</v>
      </c>
      <c r="C40" s="75" t="str">
        <f t="shared" ref="C40:C60" ca="1" si="2">OFFSET(A40:A97,0,$E$2)</f>
        <v>Brutto-Fläche, PV</v>
      </c>
    </row>
    <row r="41" spans="1:3" x14ac:dyDescent="0.3">
      <c r="A41" t="s">
        <v>72</v>
      </c>
      <c r="B41" t="s">
        <v>78</v>
      </c>
      <c r="C41" t="str">
        <f t="shared" ca="1" si="2"/>
        <v>Selbst-genutzter PV Strom</v>
      </c>
    </row>
    <row r="42" spans="1:3" x14ac:dyDescent="0.3">
      <c r="A42" t="s">
        <v>124</v>
      </c>
      <c r="B42" t="s">
        <v>79</v>
      </c>
      <c r="C42" t="str">
        <f t="shared" ca="1" si="2"/>
        <v xml:space="preserve">elektrischer Performance ratio </v>
      </c>
    </row>
    <row r="43" spans="1:3" x14ac:dyDescent="0.3">
      <c r="A43" t="s">
        <v>73</v>
      </c>
      <c r="B43" t="s">
        <v>80</v>
      </c>
      <c r="C43" t="str">
        <f t="shared" ca="1" si="2"/>
        <v>Solarthermischer Nutzungsgrad</v>
      </c>
    </row>
    <row r="44" spans="1:3" x14ac:dyDescent="0.3">
      <c r="A44" t="s">
        <v>74</v>
      </c>
      <c r="B44" t="s">
        <v>81</v>
      </c>
      <c r="C44" t="str">
        <f t="shared" ca="1" si="2"/>
        <v>Solarelektrischer Nutzungsgrad</v>
      </c>
    </row>
    <row r="45" spans="1:3" x14ac:dyDescent="0.3">
      <c r="A45" t="s">
        <v>75</v>
      </c>
      <c r="B45" t="s">
        <v>82</v>
      </c>
      <c r="C45" t="str">
        <f t="shared" ca="1" si="2"/>
        <v>Gesamter Nutzungsgrad</v>
      </c>
    </row>
    <row r="46" spans="1:3" x14ac:dyDescent="0.3">
      <c r="A46" t="s">
        <v>76</v>
      </c>
      <c r="B46" t="s">
        <v>83</v>
      </c>
      <c r="C46" t="str">
        <f t="shared" ca="1" si="2"/>
        <v>Solarthermischer Deckungsgrad</v>
      </c>
    </row>
    <row r="47" spans="1:3" x14ac:dyDescent="0.3">
      <c r="A47" t="s">
        <v>3</v>
      </c>
      <c r="B47" t="s">
        <v>84</v>
      </c>
      <c r="C47" t="str">
        <f t="shared" ca="1" si="2"/>
        <v>Arbeitszahl (SHP)</v>
      </c>
    </row>
    <row r="48" spans="1:3" x14ac:dyDescent="0.3">
      <c r="A48" t="s">
        <v>4</v>
      </c>
      <c r="B48" t="s">
        <v>85</v>
      </c>
      <c r="C48" t="str">
        <f t="shared" ca="1" si="2"/>
        <v>Arbeitszahl (bSt)</v>
      </c>
    </row>
    <row r="49" spans="1:3" x14ac:dyDescent="0.3">
      <c r="A49" t="s">
        <v>5</v>
      </c>
      <c r="B49" t="s">
        <v>86</v>
      </c>
      <c r="C49" t="str">
        <f t="shared" ca="1" si="2"/>
        <v>Arbeitszahl (SHP,Grid)</v>
      </c>
    </row>
    <row r="50" spans="1:3" x14ac:dyDescent="0.3">
      <c r="A50" t="s">
        <v>6</v>
      </c>
      <c r="B50" t="s">
        <v>87</v>
      </c>
      <c r="C50" t="str">
        <f t="shared" ca="1" si="2"/>
        <v>Arbeitszahl (bSt, Grid)</v>
      </c>
    </row>
    <row r="51" spans="1:3" x14ac:dyDescent="0.3">
      <c r="A51" t="s">
        <v>11</v>
      </c>
      <c r="B51" t="s">
        <v>135</v>
      </c>
      <c r="C51" t="str">
        <f t="shared" ca="1" si="2"/>
        <v>Primärenergie-verbrauch</v>
      </c>
    </row>
    <row r="52" spans="1:3" x14ac:dyDescent="0.3">
      <c r="A52" t="s">
        <v>9</v>
      </c>
      <c r="B52" t="s">
        <v>136</v>
      </c>
      <c r="C52" t="str">
        <f t="shared" ca="1" si="2"/>
        <v>Primärenergie-einsparung (absolut)</v>
      </c>
    </row>
    <row r="53" spans="1:3" x14ac:dyDescent="0.3">
      <c r="A53" t="s">
        <v>12</v>
      </c>
      <c r="B53" t="s">
        <v>137</v>
      </c>
      <c r="C53" t="str">
        <f t="shared" ca="1" si="2"/>
        <v>Primärenergie-einsparung (relativ)</v>
      </c>
    </row>
    <row r="54" spans="1:3" x14ac:dyDescent="0.3">
      <c r="A54" t="s">
        <v>14</v>
      </c>
      <c r="B54" t="s">
        <v>88</v>
      </c>
      <c r="C54" t="str">
        <f t="shared" ca="1" si="2"/>
        <v>Emissionen CO2-Äq.</v>
      </c>
    </row>
    <row r="55" spans="1:3" x14ac:dyDescent="0.3">
      <c r="A55" t="s">
        <v>15</v>
      </c>
      <c r="B55" t="s">
        <v>89</v>
      </c>
      <c r="C55" t="str">
        <f t="shared" ca="1" si="2"/>
        <v>Emissionsminderung CO2-Äq.</v>
      </c>
    </row>
    <row r="56" spans="1:3" x14ac:dyDescent="0.3">
      <c r="A56" t="s">
        <v>77</v>
      </c>
      <c r="B56" t="s">
        <v>90</v>
      </c>
      <c r="C56" t="str">
        <f t="shared" ca="1" si="2"/>
        <v>Relative Emissionsminderung CO2-Äq.</v>
      </c>
    </row>
    <row r="57" spans="1:3" x14ac:dyDescent="0.3">
      <c r="A57" t="s">
        <v>133</v>
      </c>
      <c r="B57" t="s">
        <v>93</v>
      </c>
      <c r="C57" t="str">
        <f t="shared" ca="1" si="2"/>
        <v>Lebenszykluskosten (Wärme und Kälte)</v>
      </c>
    </row>
    <row r="58" spans="1:3" x14ac:dyDescent="0.3">
      <c r="A58" t="s">
        <v>23</v>
      </c>
      <c r="B58" t="s">
        <v>91</v>
      </c>
      <c r="C58" t="str">
        <f t="shared" ca="1" si="2"/>
        <v>Wärmegestehungskosten (Wärme und Kälte)</v>
      </c>
    </row>
    <row r="59" spans="1:3" x14ac:dyDescent="0.3">
      <c r="A59" t="s">
        <v>134</v>
      </c>
      <c r="B59" t="s">
        <v>92</v>
      </c>
      <c r="C59" t="str">
        <f t="shared" ca="1" si="2"/>
        <v>Lebenszykluskosten (Energie)</v>
      </c>
    </row>
    <row r="60" spans="1:3" x14ac:dyDescent="0.3">
      <c r="A60" t="s">
        <v>25</v>
      </c>
      <c r="B60" t="s">
        <v>138</v>
      </c>
      <c r="C60" t="str">
        <f t="shared" ca="1" si="2"/>
        <v>Energiegestehungs-kosten</v>
      </c>
    </row>
    <row r="61" spans="1:3" x14ac:dyDescent="0.3">
      <c r="A61" t="s">
        <v>65</v>
      </c>
      <c r="B61" t="s">
        <v>67</v>
      </c>
      <c r="C61" t="str">
        <f t="shared" ref="C61:C81" ca="1" si="3">OFFSET(A61:A97,0,$E$2)</f>
        <v>ohne USt.</v>
      </c>
    </row>
    <row r="62" spans="1:3" x14ac:dyDescent="0.3">
      <c r="A62" t="s">
        <v>64</v>
      </c>
      <c r="B62" t="s">
        <v>66</v>
      </c>
      <c r="C62" t="str">
        <f t="shared" ca="1" si="3"/>
        <v>mit USt.</v>
      </c>
    </row>
    <row r="63" spans="1:3" x14ac:dyDescent="0.3">
      <c r="A63" t="s">
        <v>33</v>
      </c>
      <c r="B63" t="s">
        <v>68</v>
      </c>
      <c r="C63" t="str">
        <f t="shared" ca="1" si="3"/>
        <v>Eingabewerte (Ergebnisse von Messung oder Simulation)</v>
      </c>
    </row>
    <row r="64" spans="1:3" x14ac:dyDescent="0.3">
      <c r="A64" t="s">
        <v>32</v>
      </c>
      <c r="B64" t="s">
        <v>69</v>
      </c>
      <c r="C64" t="str">
        <f t="shared" ca="1" si="3"/>
        <v>Energiebezogene Kennzahlen</v>
      </c>
    </row>
    <row r="65" spans="1:3" x14ac:dyDescent="0.3">
      <c r="A65" t="s">
        <v>31</v>
      </c>
      <c r="B65" t="s">
        <v>70</v>
      </c>
      <c r="C65" t="str">
        <f t="shared" ca="1" si="3"/>
        <v>Ökologische Kennzahlen</v>
      </c>
    </row>
    <row r="66" spans="1:3" x14ac:dyDescent="0.3">
      <c r="A66" t="s">
        <v>30</v>
      </c>
      <c r="B66" t="s">
        <v>71</v>
      </c>
      <c r="C66" t="str">
        <f t="shared" ca="1" si="3"/>
        <v>Wirtschaftliche Kennzahlen</v>
      </c>
    </row>
    <row r="67" spans="1:3" x14ac:dyDescent="0.3">
      <c r="A67" t="s">
        <v>140</v>
      </c>
      <c r="B67" t="s">
        <v>141</v>
      </c>
      <c r="C67" t="str">
        <f t="shared" ca="1" si="3"/>
        <v>Gesamtkosten</v>
      </c>
    </row>
    <row r="68" spans="1:3" x14ac:dyDescent="0.3">
      <c r="A68" t="s">
        <v>108</v>
      </c>
      <c r="B68" t="s">
        <v>109</v>
      </c>
      <c r="C68" t="str">
        <f ca="1">OFFSET(A68:A104,0,$E$2)</f>
        <v>Sprache</v>
      </c>
    </row>
    <row r="69" spans="1:3" x14ac:dyDescent="0.3">
      <c r="A69" t="s">
        <v>142</v>
      </c>
      <c r="B69" t="s">
        <v>107</v>
      </c>
      <c r="C69" t="str">
        <f t="shared" ca="1" si="3"/>
        <v>Wirtschaftliche Parameter</v>
      </c>
    </row>
    <row r="70" spans="1:3" x14ac:dyDescent="0.3">
      <c r="A70" t="s">
        <v>143</v>
      </c>
      <c r="B70" t="s">
        <v>8</v>
      </c>
      <c r="C70" t="str">
        <f t="shared" ca="1" si="3"/>
        <v>Vergleichssysteme</v>
      </c>
    </row>
    <row r="71" spans="1:3" x14ac:dyDescent="0.3">
      <c r="A71" t="s">
        <v>144</v>
      </c>
      <c r="B71" t="s">
        <v>145</v>
      </c>
      <c r="C71" t="str">
        <f t="shared" ca="1" si="3"/>
        <v>Vergleiche mit</v>
      </c>
    </row>
    <row r="72" spans="1:3" x14ac:dyDescent="0.3">
      <c r="A72" s="11" t="s">
        <v>159</v>
      </c>
      <c r="B72" t="s">
        <v>160</v>
      </c>
      <c r="C72" t="str">
        <f t="shared" ref="C72" ca="1" si="4">OFFSET(A72:A129,0,$E$2)</f>
        <v>Primärenergiefaktor Heizöl</v>
      </c>
    </row>
    <row r="73" spans="1:3" ht="16.3" x14ac:dyDescent="0.35">
      <c r="A73" s="11" t="s">
        <v>166</v>
      </c>
      <c r="B73" t="s">
        <v>165</v>
      </c>
      <c r="C73" t="str">
        <f t="shared" ca="1" si="3"/>
        <v>Emissionsfaktor Heizöl</v>
      </c>
    </row>
    <row r="74" spans="1:3" x14ac:dyDescent="0.3">
      <c r="A74" t="s">
        <v>168</v>
      </c>
      <c r="B74" t="s">
        <v>169</v>
      </c>
      <c r="C74" t="str">
        <f t="shared" ca="1" si="3"/>
        <v>Preis für Heizöl</v>
      </c>
    </row>
    <row r="75" spans="1:3" x14ac:dyDescent="0.3">
      <c r="C75">
        <f t="shared" ca="1" si="3"/>
        <v>0</v>
      </c>
    </row>
    <row r="76" spans="1:3" x14ac:dyDescent="0.3">
      <c r="C76">
        <f t="shared" ca="1" si="3"/>
        <v>0</v>
      </c>
    </row>
    <row r="77" spans="1:3" x14ac:dyDescent="0.3">
      <c r="C77">
        <f t="shared" ca="1" si="3"/>
        <v>0</v>
      </c>
    </row>
    <row r="78" spans="1:3" x14ac:dyDescent="0.3">
      <c r="C78">
        <f t="shared" ca="1" si="3"/>
        <v>0</v>
      </c>
    </row>
    <row r="79" spans="1:3" x14ac:dyDescent="0.3">
      <c r="C79">
        <f t="shared" ca="1" si="3"/>
        <v>0</v>
      </c>
    </row>
    <row r="80" spans="1:3" x14ac:dyDescent="0.3">
      <c r="C80">
        <f t="shared" ca="1" si="3"/>
        <v>0</v>
      </c>
    </row>
    <row r="81" spans="3:3" x14ac:dyDescent="0.3">
      <c r="C81">
        <f t="shared" ca="1" si="3"/>
        <v>0</v>
      </c>
    </row>
  </sheetData>
  <dataValidations count="1">
    <dataValidation type="list" showInputMessage="1" showErrorMessage="1" sqref="H20" xr:uid="{00000000-0002-0000-0000-000000000000}">
      <formula1>F23:F24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U30"/>
  <sheetViews>
    <sheetView tabSelected="1" topLeftCell="A12" zoomScale="101" zoomScaleNormal="100" workbookViewId="0">
      <selection activeCell="C26" sqref="C26"/>
    </sheetView>
  </sheetViews>
  <sheetFormatPr defaultColWidth="9.109375" defaultRowHeight="15.05" outlineLevelCol="1" x14ac:dyDescent="0.3"/>
  <cols>
    <col min="1" max="1" width="33.109375" bestFit="1" customWidth="1"/>
    <col min="2" max="2" width="21.88671875" style="26" customWidth="1"/>
    <col min="3" max="4" width="19.44140625" style="26" customWidth="1"/>
    <col min="5" max="5" width="17.88671875" style="26" customWidth="1"/>
    <col min="6" max="6" width="15.109375" style="26" customWidth="1"/>
    <col min="7" max="7" width="10" style="26" customWidth="1"/>
    <col min="8" max="8" width="10" style="26" customWidth="1" outlineLevel="1"/>
    <col min="9" max="9" width="15.33203125" style="26" customWidth="1" outlineLevel="1"/>
    <col min="10" max="10" width="17" style="26" customWidth="1" outlineLevel="1"/>
    <col min="11" max="11" width="17.33203125" style="26" customWidth="1" outlineLevel="1"/>
    <col min="12" max="12" width="15.6640625" style="26" customWidth="1" outlineLevel="1"/>
    <col min="13" max="13" width="15.109375" style="26" customWidth="1" outlineLevel="1"/>
    <col min="14" max="14" width="22.44140625" style="26" customWidth="1" outlineLevel="1"/>
    <col min="15" max="15" width="22.33203125" style="26" customWidth="1" outlineLevel="1"/>
    <col min="16" max="16" width="23" style="26" customWidth="1" outlineLevel="1"/>
    <col min="17" max="17" width="20" style="26" customWidth="1" outlineLevel="1"/>
    <col min="18" max="18" width="20.33203125" style="26" customWidth="1" outlineLevel="1"/>
    <col min="19" max="19" width="17.6640625" style="26" customWidth="1" outlineLevel="1"/>
    <col min="20" max="20" width="18.33203125" style="26" customWidth="1" outlineLevel="1"/>
    <col min="21" max="21" width="20.44140625" style="26" customWidth="1" outlineLevel="1"/>
    <col min="22" max="22" width="17.6640625" style="48" customWidth="1" outlineLevel="1"/>
    <col min="23" max="23" width="17.88671875" style="26" customWidth="1" outlineLevel="1"/>
    <col min="24" max="24" width="14.88671875" style="26" customWidth="1" outlineLevel="1"/>
    <col min="25" max="25" width="17.88671875" style="26" customWidth="1" outlineLevel="1"/>
    <col min="26" max="26" width="17.109375" style="26" customWidth="1" outlineLevel="1"/>
    <col min="27" max="27" width="1.109375" style="26" customWidth="1"/>
    <col min="28" max="28" width="16.33203125" style="26" hidden="1" customWidth="1" outlineLevel="1"/>
    <col min="29" max="29" width="7.44140625" style="26" hidden="1" customWidth="1" outlineLevel="1"/>
    <col min="30" max="30" width="7.5546875" style="26" hidden="1" customWidth="1" outlineLevel="1"/>
    <col min="31" max="31" width="6.6640625" style="26" hidden="1" customWidth="1" outlineLevel="1"/>
    <col min="32" max="32" width="5.21875" style="26" hidden="1" customWidth="1" outlineLevel="1"/>
    <col min="33" max="33" width="1.77734375" style="26" hidden="1" customWidth="1" outlineLevel="1"/>
    <col min="34" max="34" width="13.44140625" style="26" customWidth="1" collapsed="1"/>
    <col min="35" max="35" width="14.6640625" style="26" customWidth="1"/>
    <col min="36" max="36" width="15.44140625" style="26" customWidth="1"/>
    <col min="37" max="37" width="14.88671875" style="26" customWidth="1"/>
    <col min="38" max="38" width="16.6640625" style="26" customWidth="1"/>
    <col min="39" max="39" width="17.44140625" style="26" customWidth="1"/>
    <col min="40" max="40" width="14.44140625" style="26" customWidth="1"/>
    <col min="41" max="41" width="18.109375" style="26" customWidth="1"/>
    <col min="42" max="42" width="20.44140625" style="26" customWidth="1"/>
    <col min="43" max="43" width="19" style="26" customWidth="1"/>
    <col min="44" max="44" width="18.6640625" style="26" customWidth="1"/>
    <col min="45" max="45" width="23.6640625" style="26" customWidth="1"/>
    <col min="46" max="46" width="18.33203125" style="26" customWidth="1"/>
    <col min="47" max="47" width="17.6640625" style="26" customWidth="1"/>
    <col min="48" max="16384" width="9.109375" style="26"/>
  </cols>
  <sheetData>
    <row r="1" spans="1:40" s="24" customFormat="1" x14ac:dyDescent="0.3">
      <c r="A1" s="23" t="str">
        <f ca="1">Texte!C2</f>
        <v>Globale Konstanten</v>
      </c>
      <c r="B1" s="23"/>
      <c r="F1" s="24" t="s">
        <v>171</v>
      </c>
      <c r="V1" s="25"/>
    </row>
    <row r="2" spans="1:40" customFormat="1" ht="15.65" thickBot="1" x14ac:dyDescent="0.35">
      <c r="A2" t="str">
        <f ca="1">Texte!C68</f>
        <v>Sprache</v>
      </c>
      <c r="C2">
        <v>2</v>
      </c>
      <c r="D2" s="7" t="s">
        <v>106</v>
      </c>
      <c r="K2" s="26"/>
      <c r="L2" s="26"/>
      <c r="M2" s="26"/>
      <c r="N2" s="26"/>
      <c r="O2" s="26"/>
      <c r="V2" s="13"/>
    </row>
    <row r="3" spans="1:40" customFormat="1" x14ac:dyDescent="0.3">
      <c r="A3" s="11" t="str">
        <f ca="1">Texte!C4</f>
        <v>Primärenergiefaktor Netzstrom</v>
      </c>
      <c r="B3" s="11"/>
      <c r="C3" s="11"/>
      <c r="D3" s="57">
        <v>1.8</v>
      </c>
      <c r="E3" s="11"/>
      <c r="F3" s="11"/>
      <c r="K3" s="26"/>
      <c r="L3" s="26"/>
      <c r="M3" s="26"/>
      <c r="N3" s="26"/>
      <c r="O3" s="26"/>
      <c r="V3" s="13"/>
    </row>
    <row r="4" spans="1:40" customFormat="1" x14ac:dyDescent="0.3">
      <c r="A4" s="11" t="str">
        <f ca="1">Texte!C5</f>
        <v>Primärenergiefaktor Erdgas</v>
      </c>
      <c r="B4" s="11"/>
      <c r="C4" s="11"/>
      <c r="D4" s="57">
        <v>1.1000000000000001</v>
      </c>
      <c r="E4" s="11"/>
      <c r="F4" s="11"/>
      <c r="K4" s="26"/>
      <c r="L4" s="26"/>
      <c r="M4" s="26"/>
      <c r="N4" s="26"/>
      <c r="O4" s="26"/>
      <c r="V4" s="13"/>
    </row>
    <row r="5" spans="1:40" customFormat="1" x14ac:dyDescent="0.3">
      <c r="A5" s="11" t="str">
        <f ca="1">Texte!C72</f>
        <v>Primärenergiefaktor Heizöl</v>
      </c>
      <c r="B5" s="11"/>
      <c r="C5" s="11"/>
      <c r="D5" s="57">
        <v>1.1000000000000001</v>
      </c>
      <c r="E5" s="11"/>
      <c r="F5" s="11"/>
      <c r="K5" s="26"/>
      <c r="L5" s="26"/>
      <c r="M5" s="26"/>
      <c r="N5" s="26"/>
      <c r="O5" s="26"/>
      <c r="V5" s="13"/>
    </row>
    <row r="6" spans="1:40" customFormat="1" ht="16.3" x14ac:dyDescent="0.35">
      <c r="A6" s="11" t="str">
        <f ca="1">Texte!C6</f>
        <v>Emissionsfaktor Netzstrom</v>
      </c>
      <c r="B6" s="11"/>
      <c r="C6" s="11"/>
      <c r="D6" s="57">
        <v>560</v>
      </c>
      <c r="E6" s="11" t="s">
        <v>10</v>
      </c>
      <c r="F6" s="11"/>
      <c r="K6" s="26"/>
      <c r="L6" s="26"/>
      <c r="M6" s="26"/>
      <c r="N6" s="26"/>
      <c r="O6" s="26"/>
      <c r="V6" s="13"/>
    </row>
    <row r="7" spans="1:40" customFormat="1" ht="16.3" x14ac:dyDescent="0.35">
      <c r="A7" s="11" t="str">
        <f ca="1">Texte!C73</f>
        <v>Emissionsfaktor Heizöl</v>
      </c>
      <c r="B7" s="11"/>
      <c r="C7" s="11"/>
      <c r="D7" s="57">
        <v>310</v>
      </c>
      <c r="E7" s="11" t="s">
        <v>167</v>
      </c>
      <c r="F7" s="11"/>
      <c r="K7" s="26"/>
      <c r="L7" s="26"/>
      <c r="M7" s="26"/>
      <c r="N7" s="26"/>
      <c r="O7" s="26"/>
      <c r="V7" s="13"/>
    </row>
    <row r="8" spans="1:40" customFormat="1" ht="16.3" x14ac:dyDescent="0.35">
      <c r="A8" s="11" t="str">
        <f ca="1">Texte!C7</f>
        <v>Emissionsfaktor Erdgas</v>
      </c>
      <c r="B8" s="11"/>
      <c r="C8" s="11"/>
      <c r="D8" s="57">
        <v>240</v>
      </c>
      <c r="E8" s="11" t="s">
        <v>16</v>
      </c>
      <c r="F8" s="11"/>
      <c r="K8" s="26"/>
      <c r="L8" s="26"/>
      <c r="M8" s="26"/>
      <c r="N8" s="26"/>
      <c r="O8" s="26"/>
      <c r="V8" s="13"/>
    </row>
    <row r="9" spans="1:40" customFormat="1" ht="16.3" x14ac:dyDescent="0.35">
      <c r="A9" s="11" t="str">
        <f ca="1">Texte!C8</f>
        <v>Jährlicher Haushaltsstromverbrauch</v>
      </c>
      <c r="B9" s="11"/>
      <c r="C9" s="11"/>
      <c r="D9" s="57">
        <v>2500</v>
      </c>
      <c r="E9" s="11" t="s">
        <v>27</v>
      </c>
      <c r="F9" s="11"/>
      <c r="G9">
        <v>1</v>
      </c>
      <c r="I9" s="26"/>
      <c r="K9" s="26"/>
      <c r="L9" s="26"/>
      <c r="M9" s="26"/>
      <c r="N9" s="26"/>
      <c r="O9" s="26"/>
      <c r="V9" s="13"/>
    </row>
    <row r="10" spans="1:40" customFormat="1" ht="18" customHeight="1" x14ac:dyDescent="0.3">
      <c r="A10" s="11" t="str">
        <f ca="1">Texte!C9</f>
        <v>USt.</v>
      </c>
      <c r="B10" s="11"/>
      <c r="C10" s="11"/>
      <c r="D10" s="58">
        <v>0</v>
      </c>
      <c r="E10" s="11"/>
      <c r="F10" s="9">
        <v>0.19</v>
      </c>
      <c r="H10" s="68">
        <f ca="1">OFFSET(D10:D14,0,($G$9-1)*2)</f>
        <v>0</v>
      </c>
      <c r="J10" s="26"/>
      <c r="K10" s="26"/>
      <c r="L10" s="26"/>
      <c r="M10" s="26"/>
      <c r="N10" s="26"/>
      <c r="O10" s="26"/>
      <c r="V10" s="13"/>
    </row>
    <row r="11" spans="1:40" customFormat="1" ht="16.3" x14ac:dyDescent="0.35">
      <c r="A11" s="11" t="str">
        <f ca="1">Texte!C14</f>
        <v>Preis für Netzstrom</v>
      </c>
      <c r="B11" s="11"/>
      <c r="C11" s="11"/>
      <c r="D11" s="57">
        <v>0.28000000000000003</v>
      </c>
      <c r="E11" s="11" t="s">
        <v>19</v>
      </c>
      <c r="F11" s="12">
        <f>D11*(1+$F$10)</f>
        <v>0.3332</v>
      </c>
      <c r="G11" s="11" t="s">
        <v>19</v>
      </c>
      <c r="H11" s="69">
        <f ca="1">OFFSET(D10:D14,1,($G$9-1)*2)</f>
        <v>0.28000000000000003</v>
      </c>
      <c r="J11" s="26"/>
      <c r="K11" s="26"/>
      <c r="L11" s="26"/>
      <c r="M11" s="26"/>
      <c r="N11" s="26"/>
      <c r="O11" s="26"/>
      <c r="V11" s="13"/>
      <c r="AN11" s="13"/>
    </row>
    <row r="12" spans="1:40" customFormat="1" ht="16.3" x14ac:dyDescent="0.35">
      <c r="A12" s="11" t="str">
        <f ca="1">Texte!C15</f>
        <v>Preis für Erdgas</v>
      </c>
      <c r="B12" s="11"/>
      <c r="C12" s="11"/>
      <c r="D12" s="57">
        <v>7.0000000000000007E-2</v>
      </c>
      <c r="E12" s="11" t="s">
        <v>20</v>
      </c>
      <c r="F12" s="12">
        <f>D12*(1+$F$10)</f>
        <v>8.3299999999999999E-2</v>
      </c>
      <c r="G12" s="11" t="s">
        <v>20</v>
      </c>
      <c r="H12" s="69">
        <f ca="1">OFFSET(D10:D14,2,($G$9-1)*2)</f>
        <v>7.0000000000000007E-2</v>
      </c>
      <c r="J12" s="26"/>
      <c r="K12" s="26"/>
      <c r="L12" s="26"/>
      <c r="M12" s="26"/>
      <c r="N12" s="26"/>
      <c r="O12" s="26"/>
      <c r="V12" s="13"/>
    </row>
    <row r="13" spans="1:40" customFormat="1" ht="16.3" x14ac:dyDescent="0.35">
      <c r="A13" s="11" t="str">
        <f ca="1">Texte!C74</f>
        <v>Preis für Heizöl</v>
      </c>
      <c r="B13" s="11"/>
      <c r="C13" s="11"/>
      <c r="D13" s="57">
        <v>0.08</v>
      </c>
      <c r="E13" s="11" t="s">
        <v>170</v>
      </c>
      <c r="F13" s="12">
        <f>D13*(1+$F$10)</f>
        <v>9.5199999999999993E-2</v>
      </c>
      <c r="G13" s="11" t="s">
        <v>170</v>
      </c>
      <c r="H13" s="69">
        <f ca="1">OFFSET(D11:D15,2,($G$9-1)*2)</f>
        <v>0.08</v>
      </c>
      <c r="J13" s="26"/>
      <c r="K13" s="26"/>
      <c r="L13" s="26"/>
      <c r="M13" s="26"/>
      <c r="N13" s="26"/>
      <c r="O13" s="26"/>
      <c r="V13" s="13"/>
    </row>
    <row r="14" spans="1:40" customFormat="1" ht="16.3" x14ac:dyDescent="0.35">
      <c r="A14" s="11" t="str">
        <f ca="1">Texte!C16</f>
        <v>Einspeisevergütung PV</v>
      </c>
      <c r="B14" s="11"/>
      <c r="C14" s="11"/>
      <c r="D14" s="59">
        <v>0.1</v>
      </c>
      <c r="E14" s="11" t="s">
        <v>22</v>
      </c>
      <c r="F14" s="12">
        <f>D14*(1+$F$10)</f>
        <v>0.11899999999999999</v>
      </c>
      <c r="G14" s="11" t="s">
        <v>22</v>
      </c>
      <c r="H14" s="69">
        <f ca="1">OFFSET(D10:D14,3,($G$9-1)*2)</f>
        <v>0.1</v>
      </c>
      <c r="J14" s="26"/>
      <c r="K14" s="26"/>
      <c r="L14" s="26"/>
      <c r="M14" s="26"/>
      <c r="N14" s="26"/>
      <c r="O14" s="26"/>
      <c r="V14" s="13"/>
    </row>
    <row r="15" spans="1:40" customFormat="1" x14ac:dyDescent="0.3">
      <c r="A15" s="11" t="str">
        <f ca="1">Texte!C17</f>
        <v>Analyse Zeitraum</v>
      </c>
      <c r="B15" s="11"/>
      <c r="C15" s="11"/>
      <c r="D15" s="57">
        <v>25</v>
      </c>
      <c r="E15" s="11" t="s">
        <v>21</v>
      </c>
      <c r="F15" s="11"/>
      <c r="K15" s="26"/>
      <c r="L15" s="26"/>
      <c r="M15" s="26"/>
      <c r="N15" s="26"/>
      <c r="O15" s="26"/>
      <c r="V15" s="13"/>
    </row>
    <row r="16" spans="1:40" customFormat="1" ht="15.65" thickBot="1" x14ac:dyDescent="0.35">
      <c r="A16" s="11" t="str">
        <f ca="1">Texte!C18</f>
        <v>Interner Zinsfuß</v>
      </c>
      <c r="B16" s="11"/>
      <c r="C16" s="11"/>
      <c r="D16" s="58">
        <v>0.03</v>
      </c>
      <c r="E16" s="11"/>
      <c r="F16" s="11"/>
      <c r="K16" s="26"/>
      <c r="L16" s="26"/>
      <c r="M16" s="26"/>
      <c r="N16" s="26"/>
      <c r="O16" s="26"/>
      <c r="V16" s="13"/>
    </row>
    <row r="17" spans="1:47" customFormat="1" ht="15.65" thickBot="1" x14ac:dyDescent="0.35">
      <c r="A17" s="72"/>
      <c r="B17" s="73"/>
      <c r="C17" s="106" t="str">
        <f ca="1">Texte!C69</f>
        <v>Wirtschaftliche Parameter</v>
      </c>
      <c r="D17" s="107"/>
      <c r="E17" s="107"/>
      <c r="F17" s="107"/>
      <c r="G17" s="108" t="str">
        <f ca="1">Texte!C63</f>
        <v>Eingabewerte (Ergebnisse von Messung oder Simulation)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03" t="str">
        <f ca="1">Texte!C64</f>
        <v>Energiebezogene Kennzahlen</v>
      </c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03" t="str">
        <f ca="1">Texte!C65</f>
        <v>Ökologische Kennzahlen</v>
      </c>
      <c r="AM17" s="104"/>
      <c r="AN17" s="104"/>
      <c r="AO17" s="104"/>
      <c r="AP17" s="104"/>
      <c r="AQ17" s="105"/>
      <c r="AR17" s="103" t="str">
        <f ca="1">Texte!C66</f>
        <v>Wirtschaftliche Kennzahlen</v>
      </c>
      <c r="AS17" s="104"/>
      <c r="AT17" s="104"/>
      <c r="AU17" s="105"/>
    </row>
    <row r="18" spans="1:47" s="28" customFormat="1" ht="21.8" hidden="1" customHeight="1" x14ac:dyDescent="0.3">
      <c r="A18" s="71">
        <v>20</v>
      </c>
      <c r="B18" s="71">
        <v>3</v>
      </c>
      <c r="C18" s="28">
        <v>10</v>
      </c>
      <c r="D18" s="28">
        <v>11</v>
      </c>
      <c r="E18" s="28">
        <v>12</v>
      </c>
      <c r="F18" s="28">
        <v>13</v>
      </c>
      <c r="G18" s="28">
        <v>40</v>
      </c>
      <c r="H18" s="27">
        <v>21</v>
      </c>
      <c r="I18" s="27">
        <v>22</v>
      </c>
      <c r="J18" s="27">
        <v>23</v>
      </c>
      <c r="K18" s="27">
        <v>24</v>
      </c>
      <c r="L18" s="27">
        <v>25</v>
      </c>
      <c r="M18" s="27">
        <v>26</v>
      </c>
      <c r="N18" s="27">
        <v>27</v>
      </c>
      <c r="O18" s="27">
        <v>28</v>
      </c>
      <c r="P18" s="27">
        <v>29</v>
      </c>
      <c r="Q18" s="27">
        <v>30</v>
      </c>
      <c r="R18" s="27">
        <v>31</v>
      </c>
      <c r="S18" s="27">
        <v>32</v>
      </c>
      <c r="T18" s="27">
        <v>33</v>
      </c>
      <c r="U18" s="27">
        <v>34</v>
      </c>
      <c r="V18" s="27">
        <v>35</v>
      </c>
      <c r="W18" s="27">
        <v>36</v>
      </c>
      <c r="X18" s="27">
        <v>37</v>
      </c>
      <c r="Y18" s="27">
        <v>38</v>
      </c>
      <c r="Z18" s="27">
        <v>39</v>
      </c>
      <c r="AA18" s="27"/>
      <c r="AB18" s="27">
        <v>41</v>
      </c>
      <c r="AC18" s="27">
        <v>42</v>
      </c>
      <c r="AD18" s="27">
        <v>43</v>
      </c>
      <c r="AE18" s="27">
        <v>44</v>
      </c>
      <c r="AF18" s="27">
        <v>45</v>
      </c>
      <c r="AG18" s="27">
        <v>46</v>
      </c>
      <c r="AH18" s="27">
        <v>47</v>
      </c>
      <c r="AI18" s="27">
        <v>48</v>
      </c>
      <c r="AJ18" s="27">
        <v>49</v>
      </c>
      <c r="AK18" s="27">
        <v>50</v>
      </c>
      <c r="AL18" s="27">
        <v>51</v>
      </c>
      <c r="AM18" s="27">
        <v>52</v>
      </c>
      <c r="AN18" s="27">
        <v>53</v>
      </c>
      <c r="AO18" s="27">
        <v>54</v>
      </c>
      <c r="AP18" s="27">
        <v>55</v>
      </c>
      <c r="AQ18" s="27">
        <v>56</v>
      </c>
      <c r="AR18" s="27">
        <v>57</v>
      </c>
      <c r="AS18" s="27">
        <v>58</v>
      </c>
      <c r="AT18" s="27">
        <v>59</v>
      </c>
      <c r="AU18" s="27">
        <v>60</v>
      </c>
    </row>
    <row r="19" spans="1:47" s="50" customFormat="1" ht="81.099999999999994" customHeight="1" x14ac:dyDescent="0.3">
      <c r="A19" s="49" t="str">
        <f ca="1">INDIRECT("Texte!C"&amp;Tabelle1!A18)</f>
        <v>Nummer / Beschreibung</v>
      </c>
      <c r="B19" s="49" t="str">
        <f ca="1">INDIRECT("Texte!C"&amp;Tabelle1!B18)</f>
        <v>Elektrischer Wirkungsgrad bei STC Bedingungen</v>
      </c>
      <c r="C19" s="49" t="str">
        <f ca="1">INDIRECT("Texte!C"&amp;Tabelle1!C18)</f>
        <v>Investitionskosten (ohne USt.)</v>
      </c>
      <c r="D19" s="49" t="str">
        <f ca="1">INDIRECT("Texte!C"&amp;Tabelle1!D18)</f>
        <v>Förderung</v>
      </c>
      <c r="E19" s="49" t="str">
        <f ca="1">INDIRECT("Texte!C"&amp;Tabelle1!E18)</f>
        <v>Jährliche Wartungskosten</v>
      </c>
      <c r="F19" s="49" t="str">
        <f ca="1">INDIRECT("Texte!C"&amp;Tabelle1!F18)</f>
        <v>Residualwert</v>
      </c>
      <c r="G19" s="49" t="str">
        <f ca="1">INDIRECT("Texte!C"&amp;Tabelle1!G18)</f>
        <v>Brutto-Fläche, PV</v>
      </c>
      <c r="H19" s="49" t="str">
        <f ca="1">INDIRECT("Texte!C"&amp;Tabelle1!H18)</f>
        <v>Brutto-Fläche, (PV)T oder ST</v>
      </c>
      <c r="I19" s="49" t="str">
        <f ca="1">INDIRECT("Texte!C"&amp;Tabelle1!I18)</f>
        <v>Einstrahlung auf Kollektorebene</v>
      </c>
      <c r="J19" s="49" t="str">
        <f ca="1">INDIRECT("Texte!C"&amp;Tabelle1!J18)</f>
        <v>Solarertrag (thermisch, auf Senkenseite)</v>
      </c>
      <c r="K19" s="49" t="str">
        <f ca="1">INDIRECT("Texte!C"&amp;Tabelle1!K18)</f>
        <v>Solarertrag (thermisch, auf Quellenseite)</v>
      </c>
      <c r="L19" s="49" t="str">
        <f ca="1">INDIRECT("Texte!C"&amp;Tabelle1!L18)</f>
        <v>Gesamter Solarertrag (thermisch)</v>
      </c>
      <c r="M19" s="49" t="str">
        <f ca="1">INDIRECT("Texte!C"&amp;Tabelle1!M18)</f>
        <v>Solarertrag (elektrisch, AC)</v>
      </c>
      <c r="N19" s="49" t="str">
        <f ca="1">INDIRECT("Texte!C"&amp;Tabelle1!N18)</f>
        <v>Stromverbrauch des Wärmepumpensystems (WP+Hilfsenergie) EHP+Eutil</v>
      </c>
      <c r="O19" s="49" t="str">
        <f ca="1">INDIRECT("Texte!C"&amp;Tabelle1!O18)</f>
        <v>Stromverbrauch des internen Elektroheizstabs Eaux</v>
      </c>
      <c r="P19" s="49" t="str">
        <f ca="1">INDIRECT("Texte!C"&amp;Tabelle1!P18)</f>
        <v xml:space="preserve">Stromverbrauch des Wärmepumpensystems </v>
      </c>
      <c r="Q19" s="49" t="str">
        <f ca="1">INDIRECT("Texte!C"&amp;Tabelle1!Q18)</f>
        <v>Verbrauch Spitzenkessel (Gas, Öl)</v>
      </c>
      <c r="R19" s="49" t="str">
        <f ca="1">INDIRECT("Texte!C"&amp;Tabelle1!R18)</f>
        <v>Wärme von Wärmepumpe (inkl. interner Heizstab)</v>
      </c>
      <c r="S19" s="49" t="str">
        <f ca="1">INDIRECT("Texte!C"&amp;Tabelle1!S18)</f>
        <v>Wärme vom Spitzenkessel (Gas, Öl)</v>
      </c>
      <c r="T19" s="49" t="str">
        <f ca="1">INDIRECT("Texte!C"&amp;Tabelle1!T18)</f>
        <v>Wärmeverbrauch für Raumheizung</v>
      </c>
      <c r="U19" s="49" t="str">
        <f ca="1">INDIRECT("Texte!C"&amp;Tabelle1!U18)</f>
        <v>Wärmeverbrauch für Trinkwarmwasser</v>
      </c>
      <c r="V19" s="49" t="str">
        <f ca="1">INDIRECT("Texte!C"&amp;Tabelle1!V18)</f>
        <v>Wärmeverbrauch für TWW-Zirkulation</v>
      </c>
      <c r="W19" s="49" t="str">
        <f ca="1">INDIRECT("Texte!C"&amp;Tabelle1!W18)</f>
        <v>Kälteverbrauch für Klimatisierung</v>
      </c>
      <c r="X19" s="49" t="str">
        <f ca="1">INDIRECT("Texte!C"&amp;Tabelle1!X18)</f>
        <v>PV Einspeisung ins Netz</v>
      </c>
      <c r="Y19" s="49" t="str">
        <f ca="1">INDIRECT("Texte!C"&amp;Tabelle1!Y18)</f>
        <v>PV Einspeisung an den Haushalt</v>
      </c>
      <c r="Z19" s="94" t="str">
        <f ca="1">INDIRECT("Texte!C"&amp;Tabelle1!Z18)</f>
        <v>PV Einspeisung ins WP-System</v>
      </c>
      <c r="AA19" s="99"/>
      <c r="AB19" s="95" t="str">
        <f ca="1">INDIRECT("Texte!C"&amp;Tabelle1!AB18)</f>
        <v>Selbst-genutzter PV Strom</v>
      </c>
      <c r="AC19" s="49" t="str">
        <f ca="1">INDIRECT("Texte!C"&amp;Tabelle1!AC18)</f>
        <v xml:space="preserve">elektrischer Performance ratio </v>
      </c>
      <c r="AD19" s="49" t="str">
        <f ca="1">INDIRECT("Texte!C"&amp;Tabelle1!AD18)</f>
        <v>Solarthermischer Nutzungsgrad</v>
      </c>
      <c r="AE19" s="70" t="str">
        <f ca="1">INDIRECT("Texte!C"&amp;Tabelle1!AE18)</f>
        <v>Solarelektrischer Nutzungsgrad</v>
      </c>
      <c r="AF19" s="49" t="str">
        <f ca="1">INDIRECT("Texte!C"&amp;Tabelle1!AF18)</f>
        <v>Gesamter Nutzungsgrad</v>
      </c>
      <c r="AG19" s="94" t="str">
        <f ca="1">INDIRECT("Texte!C"&amp;Tabelle1!AG18)</f>
        <v>Solarthermischer Deckungsgrad</v>
      </c>
      <c r="AH19" s="89" t="str">
        <f ca="1">INDIRECT("Texte!C"&amp;Tabelle1!AH18)</f>
        <v>Arbeitszahl (SHP)</v>
      </c>
      <c r="AI19" s="89" t="str">
        <f ca="1">INDIRECT("Texte!C"&amp;Tabelle1!AI18)</f>
        <v>Arbeitszahl (bSt)</v>
      </c>
      <c r="AJ19" s="89" t="str">
        <f ca="1">INDIRECT("Texte!C"&amp;Tabelle1!AJ18)</f>
        <v>Arbeitszahl (SHP,Grid)</v>
      </c>
      <c r="AK19" s="97" t="str">
        <f ca="1">INDIRECT("Texte!C"&amp;Tabelle1!AK18)</f>
        <v>Arbeitszahl (bSt, Grid)</v>
      </c>
      <c r="AL19" s="95" t="str">
        <f ca="1">INDIRECT("Texte!C"&amp;Tabelle1!AL18)</f>
        <v>Primärenergie-verbrauch</v>
      </c>
      <c r="AM19" s="49" t="str">
        <f ca="1">INDIRECT("Texte!C"&amp;Tabelle1!AM18)</f>
        <v>Primärenergie-einsparung (absolut)</v>
      </c>
      <c r="AN19" s="49" t="str">
        <f ca="1">INDIRECT("Texte!C"&amp;Tabelle1!AN18)</f>
        <v>Primärenergie-einsparung (relativ)</v>
      </c>
      <c r="AO19" s="49" t="str">
        <f ca="1">INDIRECT("Texte!C"&amp;Tabelle1!AO18)</f>
        <v>Emissionen CO2-Äq.</v>
      </c>
      <c r="AP19" s="49" t="str">
        <f ca="1">INDIRECT("Texte!C"&amp;Tabelle1!AP18)</f>
        <v>Emissionsminderung CO2-Äq.</v>
      </c>
      <c r="AQ19" s="94" t="str">
        <f ca="1">INDIRECT("Texte!C"&amp;Tabelle1!AQ18)</f>
        <v>Relative Emissionsminderung CO2-Äq.</v>
      </c>
      <c r="AR19" s="96" t="str">
        <f ca="1">INDIRECT("Texte!C"&amp;Tabelle1!AR18)</f>
        <v>Lebenszykluskosten (Wärme und Kälte)</v>
      </c>
      <c r="AS19" s="49" t="str">
        <f ca="1">INDIRECT("Texte!C"&amp;Tabelle1!AS18)</f>
        <v>Wärmegestehungskosten (Wärme und Kälte)</v>
      </c>
      <c r="AT19" s="49" t="str">
        <f ca="1">INDIRECT("Texte!C"&amp;Tabelle1!AT18)</f>
        <v>Lebenszykluskosten (Energie)</v>
      </c>
      <c r="AU19" s="49" t="str">
        <f ca="1">INDIRECT("Texte!C"&amp;Tabelle1!AU18)</f>
        <v>Energiegestehungs-kosten</v>
      </c>
    </row>
    <row r="20" spans="1:47" ht="16.899999999999999" thickBot="1" x14ac:dyDescent="0.35">
      <c r="A20" s="30"/>
      <c r="B20" s="33" t="s">
        <v>2</v>
      </c>
      <c r="C20" s="33" t="s">
        <v>18</v>
      </c>
      <c r="D20" s="33" t="s">
        <v>18</v>
      </c>
      <c r="E20" s="33" t="s">
        <v>18</v>
      </c>
      <c r="F20" s="33" t="s">
        <v>17</v>
      </c>
      <c r="G20" s="83" t="s">
        <v>1</v>
      </c>
      <c r="H20" s="102" t="s">
        <v>1</v>
      </c>
      <c r="I20" s="102" t="s">
        <v>157</v>
      </c>
      <c r="J20" s="102" t="s">
        <v>153</v>
      </c>
      <c r="K20" s="102" t="s">
        <v>153</v>
      </c>
      <c r="L20" s="102" t="s">
        <v>153</v>
      </c>
      <c r="M20" s="102" t="s">
        <v>153</v>
      </c>
      <c r="N20" s="102" t="s">
        <v>153</v>
      </c>
      <c r="O20" s="102" t="s">
        <v>153</v>
      </c>
      <c r="P20" s="102" t="s">
        <v>153</v>
      </c>
      <c r="Q20" s="102" t="s">
        <v>153</v>
      </c>
      <c r="R20" s="102" t="s">
        <v>153</v>
      </c>
      <c r="S20" s="102" t="s">
        <v>153</v>
      </c>
      <c r="T20" s="102" t="s">
        <v>153</v>
      </c>
      <c r="U20" s="102" t="s">
        <v>153</v>
      </c>
      <c r="V20" s="102" t="s">
        <v>153</v>
      </c>
      <c r="W20" s="102" t="s">
        <v>153</v>
      </c>
      <c r="X20" s="102" t="s">
        <v>153</v>
      </c>
      <c r="Y20" s="102" t="s">
        <v>153</v>
      </c>
      <c r="Z20" s="102" t="s">
        <v>153</v>
      </c>
      <c r="AA20" s="32"/>
      <c r="AB20" s="31" t="s">
        <v>0</v>
      </c>
      <c r="AC20" s="33" t="s">
        <v>2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/>
      <c r="AI20" s="33"/>
      <c r="AJ20" s="33"/>
      <c r="AK20" s="34"/>
      <c r="AL20" s="35" t="s">
        <v>153</v>
      </c>
      <c r="AM20" s="33" t="s">
        <v>153</v>
      </c>
      <c r="AN20" s="33" t="s">
        <v>2</v>
      </c>
      <c r="AO20" s="33" t="s">
        <v>154</v>
      </c>
      <c r="AP20" s="33" t="s">
        <v>154</v>
      </c>
      <c r="AQ20" s="34" t="s">
        <v>2</v>
      </c>
      <c r="AR20" s="35" t="s">
        <v>18</v>
      </c>
      <c r="AS20" s="33" t="s">
        <v>24</v>
      </c>
      <c r="AT20" s="33" t="s">
        <v>18</v>
      </c>
      <c r="AU20" s="34" t="s">
        <v>24</v>
      </c>
    </row>
    <row r="21" spans="1:47" ht="18.8" customHeight="1" thickBot="1" x14ac:dyDescent="0.35">
      <c r="A21" s="74" t="s">
        <v>148</v>
      </c>
      <c r="B21" s="60"/>
      <c r="C21" s="61">
        <f>11000+2000</f>
        <v>13000</v>
      </c>
      <c r="D21" s="61">
        <f>8000*0.35</f>
        <v>2800</v>
      </c>
      <c r="E21" s="61">
        <v>100</v>
      </c>
      <c r="F21" s="61">
        <v>0</v>
      </c>
      <c r="G21" s="61"/>
      <c r="H21" s="62">
        <v>0</v>
      </c>
      <c r="I21" s="7">
        <v>0</v>
      </c>
      <c r="J21" s="7">
        <v>0</v>
      </c>
      <c r="K21" s="7">
        <v>0</v>
      </c>
      <c r="L21" s="6">
        <f>J21+K21</f>
        <v>0</v>
      </c>
      <c r="M21" s="1">
        <v>0</v>
      </c>
      <c r="N21" s="53">
        <v>2992</v>
      </c>
      <c r="O21" s="1">
        <v>1</v>
      </c>
      <c r="P21" s="52">
        <f>N21+O21</f>
        <v>2993</v>
      </c>
      <c r="Q21" s="53">
        <v>0</v>
      </c>
      <c r="R21" s="53">
        <v>9341</v>
      </c>
      <c r="S21" s="53">
        <v>0</v>
      </c>
      <c r="T21" s="53">
        <v>6694</v>
      </c>
      <c r="U21" s="53">
        <v>2110</v>
      </c>
      <c r="V21" s="53">
        <v>0</v>
      </c>
      <c r="W21" s="53">
        <v>0</v>
      </c>
      <c r="X21" s="6">
        <f>M21-Y21-Z21</f>
        <v>0</v>
      </c>
      <c r="Y21" s="1">
        <v>0</v>
      </c>
      <c r="Z21" s="14">
        <v>0</v>
      </c>
      <c r="AA21" s="100"/>
      <c r="AB21" s="8">
        <f>Y21+Z21</f>
        <v>0</v>
      </c>
      <c r="AC21" s="20" t="str">
        <f>IF(M21&gt;0,M21/(I21*G21*B21),"")</f>
        <v/>
      </c>
      <c r="AD21" s="36" t="str">
        <f>IF(AND(H21&gt;0,I21&gt;0),(L21/H21)/I21,"")</f>
        <v/>
      </c>
      <c r="AE21" s="36" t="str">
        <f>IF(AND(G21&gt;0,I21&gt;0),(M21/G21)/I21,"")</f>
        <v/>
      </c>
      <c r="AF21" s="37">
        <f>_xlfn.NUMBERVALUE(AE21)+_xlfn.NUMBERVALUE(AD21)</f>
        <v>0</v>
      </c>
      <c r="AG21" s="36" t="str">
        <f>IF(J21&gt;0,(J21/(J21+R21+S21)),"")</f>
        <v/>
      </c>
      <c r="AH21" s="38">
        <f>IF(P21&gt;0,(T21+U21+V21+W21-S21)/(P21),"")</f>
        <v>2.9415302372201806</v>
      </c>
      <c r="AI21" s="38">
        <f>IF(P21&gt;0,(R21+J21)/(P21),"")</f>
        <v>3.1209488807216839</v>
      </c>
      <c r="AJ21" s="38">
        <f>IF((P21-Z21)&gt;0,(T21+U21+V21-S21)/(P21-Z21),"")</f>
        <v>2.9415302372201806</v>
      </c>
      <c r="AK21" s="39">
        <f>IF((P21-Z21)&gt;0,(R21+J21)/(P21-Z21),"")</f>
        <v>3.1209488807216839</v>
      </c>
      <c r="AL21" s="76">
        <f>$D$3*(P21-Z21)+$D$4*Q21</f>
        <v>5387.4000000000005</v>
      </c>
      <c r="AM21" s="40"/>
      <c r="AN21" s="84">
        <f ca="1">IF(C25=(ROW(AL21)-ROW($AL$20)),#N/A,(OFFSET($AL$20,$C$25,0)-AL21)/OFFSET($AL$20,$C$25,0))</f>
        <v>-0.20394207562349162</v>
      </c>
      <c r="AO21" s="77">
        <f>($D$6*(P21-Z21)+$D$8*Q21)/10^6</f>
        <v>1.67608</v>
      </c>
      <c r="AP21" s="40"/>
      <c r="AQ21" s="84">
        <f ca="1">IF(F25=(ROW(AO21)-ROW($AL$20)),#N/A,(OFFSET($AO$20,$C$25,0)-AO21)/OFFSET($AO$20,$C$25,0))</f>
        <v>-0.20394207562349151</v>
      </c>
      <c r="AR21" s="41">
        <f ca="1">($C21 * (1+$H$10)-$D21) + ((1+$D$16)^$D$15 - 1) / ((1 + $D$16)^$D$15 * $D$16) * ($E21 + (P21-Z21) * $H$11 + Q21 * $H$12 - X21 * $H$14) - $F21 / ( 1 + $D$16)^$D$15</f>
        <v>26534.229060326426</v>
      </c>
      <c r="AS21" s="42">
        <f ca="1">AR21 / (((1+$D$16)^$D$15 - 1) / ((1 + $D$16)^$D$15 * $D$16)) / (T21+U21)</f>
        <v>0.17308090465687231</v>
      </c>
      <c r="AT21" s="43">
        <f ca="1">($C21 * (1+$H$10)-$D21) + ((1+$D$16)^$D$15 - 1) / ((1 + $D$16)^$D$15 * $D$16) * ($E21 + ((P21-Z21) + $D$9-Y21 )* $H$11 + Q21 * $H$12 - X21 * $H$14) - $F21 / ( 1 + $D$16)^$D$15</f>
        <v>38723.432444221035</v>
      </c>
      <c r="AU21" s="44">
        <f ca="1">AT21 / (((1+$D$16)^$D$15 - 1) / ((1 + $D$16)^$D$15 * $D$16)) / (T21+U21 + $D$9)</f>
        <v>0.19672720139765601</v>
      </c>
    </row>
    <row r="22" spans="1:47" ht="18.8" customHeight="1" thickBot="1" x14ac:dyDescent="0.35">
      <c r="A22" s="74" t="s">
        <v>172</v>
      </c>
      <c r="B22" s="60"/>
      <c r="C22" s="61">
        <f>11000+2500+2000</f>
        <v>15500</v>
      </c>
      <c r="D22" s="61">
        <f>8000*0.35</f>
        <v>2800</v>
      </c>
      <c r="E22" s="61">
        <v>100</v>
      </c>
      <c r="F22" s="61">
        <v>0</v>
      </c>
      <c r="G22" s="61">
        <v>20</v>
      </c>
      <c r="H22" s="62"/>
      <c r="I22" s="7">
        <v>1345</v>
      </c>
      <c r="J22" s="7">
        <v>0</v>
      </c>
      <c r="K22" s="7">
        <v>0</v>
      </c>
      <c r="L22" s="6">
        <f t="shared" ref="L22:L23" si="0">J22+K22</f>
        <v>0</v>
      </c>
      <c r="M22" s="81">
        <v>4579</v>
      </c>
      <c r="N22" s="92">
        <v>3057</v>
      </c>
      <c r="O22" s="81">
        <v>1</v>
      </c>
      <c r="P22" s="91">
        <f>N22+O22</f>
        <v>3058</v>
      </c>
      <c r="Q22" s="92">
        <v>0</v>
      </c>
      <c r="R22" s="92">
        <v>9492</v>
      </c>
      <c r="S22" s="92">
        <v>0</v>
      </c>
      <c r="T22" s="92">
        <v>6690</v>
      </c>
      <c r="U22" s="92">
        <v>2110</v>
      </c>
      <c r="V22" s="92">
        <v>0</v>
      </c>
      <c r="W22" s="92">
        <v>0</v>
      </c>
      <c r="X22" s="6">
        <f>M22-Y22-Z22</f>
        <v>3004.13</v>
      </c>
      <c r="Y22" s="81">
        <v>1002.87</v>
      </c>
      <c r="Z22" s="14">
        <v>572</v>
      </c>
      <c r="AA22" s="80"/>
      <c r="AB22" s="8">
        <f t="shared" ref="AB22:AB23" si="1">Y22+Z22</f>
        <v>1574.87</v>
      </c>
      <c r="AC22" s="20" t="e">
        <f>IF(M22&gt;0,M22/(I22*G22*B22),"")</f>
        <v>#DIV/0!</v>
      </c>
      <c r="AD22" s="84" t="str">
        <f>IF(AND(H22&gt;0,I22&gt;0),(L22/H22)/I22,"")</f>
        <v/>
      </c>
      <c r="AE22" s="84">
        <f>IF(AND(G22&gt;0,I22&gt;0),(M22/G22)/I22,"")</f>
        <v>0.17022304832713753</v>
      </c>
      <c r="AF22" s="37">
        <f t="shared" ref="AF22:AF23" si="2">_xlfn.NUMBERVALUE(AE22)+_xlfn.NUMBERVALUE(AD22)</f>
        <v>0.170223048327138</v>
      </c>
      <c r="AG22" s="84" t="str">
        <f>IF(J22&gt;0,(J22/(J22+R22+S22)),"")</f>
        <v/>
      </c>
      <c r="AH22" s="85">
        <f>IF(P22&gt;0,(T22+U22+V22+W22-S22)/(P22),"")</f>
        <v>2.8776978417266186</v>
      </c>
      <c r="AI22" s="85">
        <f>IF(P22&gt;0,(R22+J22)/(P22),"")</f>
        <v>3.103989535644212</v>
      </c>
      <c r="AJ22" s="85">
        <f t="shared" ref="AJ22:AJ23" si="3">IF((P22-Z22)&gt;0,(T22+U22+V22-S22)/(P22-Z22),"")</f>
        <v>3.5398230088495577</v>
      </c>
      <c r="AK22" s="86">
        <f>IF((P22-Z22)&gt;0,(R22+J22)/(P22-Z22),"")</f>
        <v>3.8181818181818183</v>
      </c>
      <c r="AL22" s="76">
        <f>$D$3*(P22-Z22)+$D$5*Q22</f>
        <v>4474.8</v>
      </c>
      <c r="AM22" s="40"/>
      <c r="AN22" s="84">
        <f ca="1">IF(C26=(ROW(AL22)-ROW($AL$20)),#N/A,(OFFSET($AL$20,$C$25,0)-AL22)/OFFSET($AL$20,$C$25,0))</f>
        <v>0</v>
      </c>
      <c r="AO22" s="77">
        <f t="shared" ref="AO22:AO23" si="4">($D$6*(P22-Z22)+$D$8*Q22)/10^6</f>
        <v>1.3921600000000001</v>
      </c>
      <c r="AP22" s="40"/>
      <c r="AQ22" s="84">
        <f ca="1">IF(F26=(ROW(AO22)-ROW($AL$20)),#N/A,(OFFSET($AO$20,$C$25,0)-AO22)/OFFSET($AO$20,$C$25,0))</f>
        <v>0</v>
      </c>
      <c r="AR22" s="41">
        <f ca="1">($C22 * (1+$H$10)-$D22) + ((1+$D$16)^$D$15 - 1) / ((1 + $D$16)^$D$15 * $D$16) * ($E22 + (P22-Z22) * $H$11 + Q22 * $H$13 - X22 * $H$14) - $F22 / ( 1 + $D$16)^$D$15</f>
        <v>21331.122676692699</v>
      </c>
      <c r="AS22" s="42">
        <f t="shared" ref="AS22:AS23" ca="1" si="5">AR22 / (((1+$D$16)^$D$15 - 1) / ((1 + $D$16)^$D$15 * $D$16)) / (T22+U22)</f>
        <v>0.13920465479510491</v>
      </c>
      <c r="AT22" s="43">
        <f ca="1">($C22 * (1+$H$10)-$D22) + ((1+$D$16)^$D$15 - 1) / ((1 + $D$16)^$D$15 * $D$16) * ($E22 + ((P22-Z22) + $D$9-Y22 )* $H$11 + Q22 * $H$13 - X22 * $H$14) - $F22 / ( 1 + $D$16)^$D$15</f>
        <v>28630.651501544759</v>
      </c>
      <c r="AU22" s="44">
        <f ca="1">AT22 / (((1+$D$16)^$D$15 - 1) / ((1 + $D$16)^$D$15 * $D$16)) / (T22+U22 + $D$9)</f>
        <v>0.14550419134486051</v>
      </c>
    </row>
    <row r="23" spans="1:47" ht="18.8" customHeight="1" thickBot="1" x14ac:dyDescent="0.35">
      <c r="A23" s="74" t="s">
        <v>158</v>
      </c>
      <c r="B23" s="60"/>
      <c r="C23" s="61">
        <v>5000</v>
      </c>
      <c r="D23" s="61"/>
      <c r="E23" s="61">
        <v>100</v>
      </c>
      <c r="F23" s="61">
        <v>0</v>
      </c>
      <c r="G23" s="61"/>
      <c r="H23" s="62">
        <v>0</v>
      </c>
      <c r="I23" s="7">
        <v>0</v>
      </c>
      <c r="J23" s="7">
        <v>0</v>
      </c>
      <c r="K23" s="7">
        <v>0</v>
      </c>
      <c r="L23" s="6">
        <f t="shared" si="0"/>
        <v>0</v>
      </c>
      <c r="M23" s="81">
        <v>0</v>
      </c>
      <c r="N23" s="92">
        <v>116</v>
      </c>
      <c r="O23" s="81">
        <v>0</v>
      </c>
      <c r="P23" s="91">
        <f>N23+O23</f>
        <v>116</v>
      </c>
      <c r="Q23" s="92">
        <v>10181.700000000001</v>
      </c>
      <c r="R23" s="92">
        <v>0</v>
      </c>
      <c r="S23" s="92">
        <v>9435.4</v>
      </c>
      <c r="T23" s="92">
        <v>6693</v>
      </c>
      <c r="U23" s="92">
        <v>2110</v>
      </c>
      <c r="V23" s="92">
        <v>0</v>
      </c>
      <c r="W23" s="92">
        <v>0</v>
      </c>
      <c r="X23" s="6">
        <f>M23-Y23-Z23</f>
        <v>0</v>
      </c>
      <c r="Y23" s="81">
        <v>0</v>
      </c>
      <c r="Z23" s="14">
        <v>0</v>
      </c>
      <c r="AA23" s="80"/>
      <c r="AB23" s="8">
        <f t="shared" si="1"/>
        <v>0</v>
      </c>
      <c r="AC23" s="20" t="str">
        <f>IF(M23&gt;0,M23/(I23*G23*B23),"")</f>
        <v/>
      </c>
      <c r="AD23" s="84" t="str">
        <f>IF(AND(H23&gt;0,I23&gt;0),(L23/H23)/I23,"")</f>
        <v/>
      </c>
      <c r="AE23" s="84" t="str">
        <f>IF(AND(G23&gt;0,I23&gt;0),(M23/G23)/I23,"")</f>
        <v/>
      </c>
      <c r="AF23" s="37">
        <f t="shared" si="2"/>
        <v>0</v>
      </c>
      <c r="AG23" s="84" t="str">
        <f>IF(J23&gt;0,(J23/(J23+R23+S23)),"")</f>
        <v/>
      </c>
      <c r="AH23" s="85">
        <f t="shared" ref="AH23" si="6">IF(P23&gt;0,(T23+U23+V23+W23-S23)/(P23),"")</f>
        <v>-5.4517241379310315</v>
      </c>
      <c r="AI23" s="85">
        <f>IF(P23&gt;0,(R23+J23)/(P23),"")</f>
        <v>0</v>
      </c>
      <c r="AJ23" s="85">
        <f t="shared" si="3"/>
        <v>-5.4517241379310315</v>
      </c>
      <c r="AK23" s="86">
        <f>IF((P23-Z23)&gt;0,(R23+J23)/(P23-Z23),"")</f>
        <v>0</v>
      </c>
      <c r="AL23" s="76">
        <f>$D$3*(P23-Z23)+$D$4*Q23</f>
        <v>11408.67</v>
      </c>
      <c r="AM23" s="40"/>
      <c r="AN23" s="84">
        <f ca="1">IF(C27=(ROW(AL23)-ROW($AL$20)),#N/A,(OFFSET($AL$20,$C$25,0)-AL23)/OFFSET($AL$20,$C$25,0))</f>
        <v>-1.5495374094931615</v>
      </c>
      <c r="AO23" s="77">
        <f t="shared" si="4"/>
        <v>2.5085679999999999</v>
      </c>
      <c r="AP23" s="40"/>
      <c r="AQ23" s="84">
        <f ca="1">IF(F27=(ROW(AO23)-ROW($AL$20)),#N/A,(OFFSET($AO$20,$C$25,0)-AO23)/OFFSET($AO$20,$C$25,0))</f>
        <v>-0.80192506608435798</v>
      </c>
      <c r="AR23" s="41">
        <f ca="1">($C23 * (1+$H$10)-$D23) + ((1+$D$16)^$D$15 - 1) / ((1 + $D$16)^$D$15 * $D$16) * ($E23 + (P23-Z23) * $H$11 + Q23 * $H$12 - X23 * $H$14) - $F23 / ( 1 + $D$16)^$D$15</f>
        <v>19717.575015520488</v>
      </c>
      <c r="AS23" s="42">
        <f t="shared" ca="1" si="5"/>
        <v>0.12863096162622278</v>
      </c>
      <c r="AT23" s="43">
        <f ca="1">($C23 * (1+$H$10)-$D23) + ((1+$D$16)^$D$15 - 1) / ((1 + $D$16)^$D$15 * $D$16) * ($E23 + ((P23-Z23) + $D$9-Y23 )* $H$11 + Q23 * $H$12 - X23 * $H$14) - $F23 / ( 1 + $D$16)^$D$15</f>
        <v>31906.778399415096</v>
      </c>
      <c r="AU23" s="44">
        <f t="shared" ref="AU23" ca="1" si="7">AT23 / (((1+$D$16)^$D$15 - 1) / ((1 + $D$16)^$D$15 * $D$16)) / (T23+U23 + $D$9)</f>
        <v>0.16211079847789431</v>
      </c>
    </row>
    <row r="24" spans="1:47" ht="18.8" customHeight="1" thickBot="1" x14ac:dyDescent="0.35">
      <c r="A24" s="74" t="s">
        <v>94</v>
      </c>
      <c r="B24" s="63"/>
      <c r="C24" s="61">
        <v>20000</v>
      </c>
      <c r="D24" s="61">
        <f>C24*0.3</f>
        <v>6000</v>
      </c>
      <c r="E24" s="61">
        <v>100</v>
      </c>
      <c r="F24" s="61">
        <v>0</v>
      </c>
      <c r="G24" s="61"/>
      <c r="H24" s="62">
        <v>15</v>
      </c>
      <c r="I24" s="7">
        <v>1345</v>
      </c>
      <c r="J24" s="7">
        <v>3496</v>
      </c>
      <c r="K24" s="7">
        <v>0</v>
      </c>
      <c r="L24" s="6">
        <f>J24+K24</f>
        <v>3496</v>
      </c>
      <c r="M24" s="1">
        <v>0</v>
      </c>
      <c r="N24" s="1">
        <v>178</v>
      </c>
      <c r="O24" s="1">
        <v>0</v>
      </c>
      <c r="P24" s="52">
        <f>N24+O24</f>
        <v>178</v>
      </c>
      <c r="Q24" s="53">
        <v>7292.5</v>
      </c>
      <c r="R24" s="53">
        <v>0</v>
      </c>
      <c r="S24" s="53">
        <v>6806.9</v>
      </c>
      <c r="T24" s="53">
        <v>6692</v>
      </c>
      <c r="U24" s="53">
        <v>2110</v>
      </c>
      <c r="V24" s="53">
        <v>0</v>
      </c>
      <c r="W24" s="53">
        <v>0</v>
      </c>
      <c r="X24" s="6">
        <f>M24-Y24-Z24</f>
        <v>0</v>
      </c>
      <c r="Y24" s="1">
        <v>0</v>
      </c>
      <c r="Z24" s="14">
        <v>0</v>
      </c>
      <c r="AA24" s="80"/>
      <c r="AB24" s="8">
        <f>Y24+Z24</f>
        <v>0</v>
      </c>
      <c r="AC24" s="20" t="str">
        <f>IF(M24&gt;0,M24/(I24*G24*B24),"")</f>
        <v/>
      </c>
      <c r="AD24" s="36">
        <f>IF(AND(H24&gt;0,I24&gt;0),(L24/H24)/I24,"")</f>
        <v>0.17328376703841389</v>
      </c>
      <c r="AE24" s="36" t="str">
        <f>IF(AND(G24&gt;0,I24&gt;0),(M24/G24)/I24,"")</f>
        <v/>
      </c>
      <c r="AF24" s="37">
        <f>_xlfn.NUMBERVALUE(AE24)+_xlfn.NUMBERVALUE(AD24)</f>
        <v>0.173283767038414</v>
      </c>
      <c r="AG24" s="36">
        <f>IF(J24&gt;0,(J24/(J24+R24+S24)),"")</f>
        <v>0.33932193848333964</v>
      </c>
      <c r="AH24" s="38">
        <f>IF(P24&gt;0,(T24+U24+V24+W24-S24)/(P24),"")</f>
        <v>11.208426966292137</v>
      </c>
      <c r="AI24" s="85">
        <f>IF(P24&gt;0,(R24+J24)/(P24),"")</f>
        <v>19.640449438202246</v>
      </c>
      <c r="AJ24" s="38">
        <f>IF((P24-Z24)&gt;0,(T24+U24+V24-S24)/(P24-Z24),"")</f>
        <v>11.208426966292137</v>
      </c>
      <c r="AK24" s="86">
        <f>IF((P24-Z24)&gt;0,(R24+J24)/(P24-Z24),"")</f>
        <v>19.640449438202246</v>
      </c>
      <c r="AL24" s="76">
        <f>$D$3*(P24-Z24)+$D$4*Q24</f>
        <v>8342.1500000000015</v>
      </c>
      <c r="AM24" s="40"/>
      <c r="AN24" s="84">
        <f ca="1">IF(C28=(ROW(AL24)-ROW($AL$20)),#N/A,(OFFSET($AL$20,$C$25,0)-AL24)/OFFSET($AL$20,$C$25,0))</f>
        <v>-0.86425091624206696</v>
      </c>
      <c r="AO24" s="77">
        <f>($D$6*(P24-Z24)+$D$8*Q24)/10^6</f>
        <v>1.84988</v>
      </c>
      <c r="AP24" s="40"/>
      <c r="AQ24" s="84">
        <f ca="1">IF(F28=(ROW(AO24)-ROW($AL$20)),#N/A,(OFFSET($AO$20,$C$25,0)-AO24)/OFFSET($AO$20,$C$25,0))</f>
        <v>-0.32878404781059639</v>
      </c>
      <c r="AR24" s="41">
        <f ca="1">($C24 * (1+$H$10)-$D24) + ((1+$D$16)^$D$15 - 1) / ((1 + $D$16)^$D$15 * $D$16) * ($E24 + (P24-Z24) * $H$11 + Q24 * $H$12 - X24 * $H$14) - $F24 / ( 1 + $D$16)^$D$15</f>
        <v>25498.16261776624</v>
      </c>
      <c r="AS24" s="42">
        <f ca="1">AR24 / (((1+$D$16)^$D$15 - 1) / ((1 + $D$16)^$D$15 * $D$16)) / (T24+U24)</f>
        <v>0.16636050835580429</v>
      </c>
      <c r="AT24" s="43">
        <f ca="1">($C24 * (1+$H$10)-$D24) + ((1+$D$16)^$D$15 - 1) / ((1 + $D$16)^$D$15 * $D$16) * ($E24 + ((P24-Z24) + $D$9-Y24 )* $H$11 + Q24 * $H$12 - X24 * $H$14) - $F24 / ( 1 + $D$16)^$D$15</f>
        <v>37687.366001660848</v>
      </c>
      <c r="AU24" s="44">
        <f ca="1">AT24 / (((1+$D$16)^$D$15 - 1) / ((1 + $D$16)^$D$15 * $D$16)) / (T24+U24 + $D$9)</f>
        <v>0.19149753977595019</v>
      </c>
    </row>
    <row r="25" spans="1:47" ht="24.75" customHeight="1" thickBot="1" x14ac:dyDescent="0.35">
      <c r="A25" s="5" t="str">
        <f ca="1">Texte!C70</f>
        <v>Vergleichssysteme</v>
      </c>
      <c r="B25" s="4" t="str">
        <f ca="1">Texte!C71</f>
        <v>Vergleiche mit</v>
      </c>
      <c r="C25" s="4">
        <v>2</v>
      </c>
      <c r="D25" s="67"/>
      <c r="E25" s="67"/>
      <c r="F25" s="67"/>
      <c r="G25" s="67"/>
      <c r="H25" s="67"/>
      <c r="I25" s="67"/>
      <c r="J25" s="67"/>
      <c r="K25" s="67"/>
      <c r="L25" s="67"/>
      <c r="M25" s="2"/>
      <c r="N25" s="2"/>
      <c r="O25" s="2"/>
      <c r="P25" s="2"/>
      <c r="Q25" s="54"/>
      <c r="R25" s="54"/>
      <c r="S25" s="54"/>
      <c r="T25" s="54"/>
      <c r="U25" s="54"/>
      <c r="V25" s="54"/>
      <c r="W25" s="54"/>
      <c r="X25" s="2"/>
      <c r="Y25" s="2"/>
      <c r="Z25" s="15"/>
      <c r="AA25" s="101"/>
      <c r="AB25" s="2"/>
      <c r="AC25" s="21"/>
      <c r="AD25" s="45"/>
      <c r="AE25" s="45"/>
      <c r="AF25" s="45"/>
      <c r="AG25" s="45"/>
      <c r="AH25" s="45"/>
      <c r="AI25" s="45"/>
      <c r="AJ25" s="45"/>
      <c r="AK25" s="46"/>
      <c r="AL25" s="87"/>
      <c r="AM25" s="79"/>
      <c r="AN25" s="79"/>
      <c r="AO25" s="79"/>
      <c r="AP25" s="45"/>
      <c r="AQ25" s="46"/>
      <c r="AR25" s="45"/>
      <c r="AS25" s="45"/>
      <c r="AT25" s="45"/>
      <c r="AU25" s="46"/>
    </row>
    <row r="26" spans="1:47" ht="18.8" customHeight="1" thickBot="1" x14ac:dyDescent="0.35">
      <c r="A26" s="74" t="s">
        <v>156</v>
      </c>
      <c r="B26" s="60">
        <v>0.17</v>
      </c>
      <c r="C26" s="61">
        <f>11000+(10*800)+3000</f>
        <v>22000</v>
      </c>
      <c r="D26" s="61">
        <f>C26*0.35</f>
        <v>7699.9999999999991</v>
      </c>
      <c r="E26" s="61">
        <v>100</v>
      </c>
      <c r="F26" s="61">
        <v>0</v>
      </c>
      <c r="G26" s="61">
        <v>20</v>
      </c>
      <c r="H26" s="62">
        <v>20</v>
      </c>
      <c r="I26" s="3">
        <v>1345</v>
      </c>
      <c r="J26" s="51">
        <v>-213</v>
      </c>
      <c r="K26" s="51">
        <v>7085</v>
      </c>
      <c r="L26" s="52">
        <f>J26+K26</f>
        <v>6872</v>
      </c>
      <c r="M26" s="53">
        <v>4716</v>
      </c>
      <c r="N26" s="53">
        <v>2494</v>
      </c>
      <c r="O26" s="53">
        <v>231</v>
      </c>
      <c r="P26" s="52">
        <f>N26+O26</f>
        <v>2725</v>
      </c>
      <c r="Q26" s="53">
        <v>0</v>
      </c>
      <c r="R26" s="53">
        <v>9706</v>
      </c>
      <c r="S26" s="53">
        <v>0</v>
      </c>
      <c r="T26" s="53">
        <v>6694</v>
      </c>
      <c r="U26" s="53">
        <v>2110</v>
      </c>
      <c r="V26" s="53">
        <v>0</v>
      </c>
      <c r="W26" s="53">
        <v>0</v>
      </c>
      <c r="X26" s="6">
        <f>M26-Y26-Z26</f>
        <v>3173.4</v>
      </c>
      <c r="Y26" s="1">
        <v>1042</v>
      </c>
      <c r="Z26" s="53">
        <v>500.6</v>
      </c>
      <c r="AA26" s="80"/>
      <c r="AB26" s="98">
        <f>Y26+Z26</f>
        <v>1542.6</v>
      </c>
      <c r="AC26" s="20">
        <f>IF(M26&gt;0,M26/(I26*G26*B26),"")</f>
        <v>1.031270500765362</v>
      </c>
      <c r="AD26" s="36">
        <f>IF(AND(H26&gt;0,I26&gt;0),(L26/H26)/I26,"")</f>
        <v>0.25546468401486988</v>
      </c>
      <c r="AE26" s="56">
        <f>IF(AND(G26&gt;0,I26&gt;0),(M26/G26)/I26,"")</f>
        <v>0.17531598513011154</v>
      </c>
      <c r="AF26" s="37">
        <f t="shared" ref="AF26:AF30" si="8">_xlfn.NUMBERVALUE(AE26)+_xlfn.NUMBERVALUE(AD26)</f>
        <v>0.43078066914498203</v>
      </c>
      <c r="AG26" s="93" t="str">
        <f>IF(J26&gt;0,(J26/(J26+R26+S26)),"")</f>
        <v/>
      </c>
      <c r="AH26" s="85">
        <f>IF(P26&gt;0,(T26+U26+V26+W26-S26)/(P26),"")</f>
        <v>3.2308256880733945</v>
      </c>
      <c r="AI26" s="85">
        <f>IF(P26&gt;0,(R26+J26)/(P26),"")</f>
        <v>3.4836697247706421</v>
      </c>
      <c r="AJ26" s="38">
        <f t="shared" ref="AJ26:AJ30" si="9">IF((P26-Z26)&gt;0,(T26+U26+V26-S26)/(P26-Z26),"")</f>
        <v>3.9579212371875561</v>
      </c>
      <c r="AK26" s="86">
        <f>IF((P26-Z26)&gt;0,(R26+J26)/(P26-Z26),"")</f>
        <v>4.2676676856680453</v>
      </c>
      <c r="AL26" s="76">
        <f>$D$3*(P26-Z26)+$D$4*Q26</f>
        <v>4003.92</v>
      </c>
      <c r="AM26" s="78">
        <f ca="1">INDIRECT("AL" &amp; ROW($AL$20)+$C$25)-AL26</f>
        <v>470.88000000000011</v>
      </c>
      <c r="AN26" s="36">
        <f ca="1">AM26/INDIRECT("$AL$" &amp; ROW($AL$20)+$C$25)</f>
        <v>0.10522928399034595</v>
      </c>
      <c r="AO26" s="77">
        <f>($D$6*(P26-Z26)+$D$8*Q26)/10^6</f>
        <v>1.2456640000000001</v>
      </c>
      <c r="AP26" s="77">
        <f ca="1">INDIRECT("AO"&amp; ROW($AL$20)+$C$25)-AO26</f>
        <v>0.14649599999999996</v>
      </c>
      <c r="AQ26" s="47">
        <f ca="1">AP26/INDIRECT("$AO" &amp; ROW($AL$20) + $C$25)</f>
        <v>0.10522928399034591</v>
      </c>
      <c r="AR26" s="41">
        <f ca="1">($C26 * (1+$H$10)-$D26) + ((1+$D$16)^$D$15 - 1) / ((1 + $D$16)^$D$15 * $D$16) * ($E26 + (P26-Z26) * $H$11 + Q26 * $H$12 - X26 * $H$14) - $F26 / ( 1 + $D$16)^$D$15</f>
        <v>21360.892083631705</v>
      </c>
      <c r="AS26" s="42">
        <f ca="1">AR26 / (((1+$D$16)^$D$15 - 1) / ((1 + $D$16)^$D$15 * $D$16)) / (T26+U26)</f>
        <v>0.13933559244201815</v>
      </c>
      <c r="AT26" s="43">
        <f ca="1">($C26 * (1+$H$10)-$D26) + ((1+$D$16)^$D$15 - 1) / ((1 + $D$16)^$D$15 * $D$16) * ($E26 + ((P26-Z26) + $D$9-Y26 )* $H$11 + Q26 * $H$12 - X26 * $H$14) - $F26 / ( 1 + $D$16)^$D$15</f>
        <v>28469.635497119038</v>
      </c>
      <c r="AU26" s="44">
        <f ca="1">AT26 / (((1+$D$16)^$D$15 - 1) / ((1 + $D$16)^$D$15 * $D$16)) / (T26+U26 + $D$9)</f>
        <v>0.14463469177808985</v>
      </c>
    </row>
    <row r="27" spans="1:47" ht="18.8" customHeight="1" thickBot="1" x14ac:dyDescent="0.35">
      <c r="A27" s="74" t="s">
        <v>155</v>
      </c>
      <c r="B27" s="60">
        <v>0.17</v>
      </c>
      <c r="C27" s="61">
        <f>11000+(10*800)+3000</f>
        <v>22000</v>
      </c>
      <c r="D27" s="61">
        <f>C27*0.45</f>
        <v>9900</v>
      </c>
      <c r="E27" s="61">
        <v>100</v>
      </c>
      <c r="F27" s="61">
        <v>0</v>
      </c>
      <c r="G27" s="61">
        <v>20</v>
      </c>
      <c r="H27" s="62">
        <v>20</v>
      </c>
      <c r="I27" s="82">
        <v>1345</v>
      </c>
      <c r="J27" s="90">
        <v>-213</v>
      </c>
      <c r="K27" s="90">
        <v>7085</v>
      </c>
      <c r="L27" s="52">
        <f>J27+K27</f>
        <v>6872</v>
      </c>
      <c r="M27" s="92">
        <v>4716</v>
      </c>
      <c r="N27" s="92">
        <v>2494</v>
      </c>
      <c r="O27" s="92">
        <v>231</v>
      </c>
      <c r="P27" s="52">
        <f>N27+O27</f>
        <v>2725</v>
      </c>
      <c r="Q27" s="92">
        <v>0</v>
      </c>
      <c r="R27" s="92">
        <v>9706</v>
      </c>
      <c r="S27" s="92">
        <v>0</v>
      </c>
      <c r="T27" s="92">
        <v>6694</v>
      </c>
      <c r="U27" s="92">
        <v>2110</v>
      </c>
      <c r="V27" s="92">
        <v>0</v>
      </c>
      <c r="W27" s="92">
        <v>0</v>
      </c>
      <c r="X27" s="6">
        <f>M27-Y27-Z27</f>
        <v>3173.4</v>
      </c>
      <c r="Y27" s="81">
        <v>1042</v>
      </c>
      <c r="Z27" s="92">
        <v>500.6</v>
      </c>
      <c r="AA27" s="80"/>
      <c r="AB27" s="91">
        <f t="shared" ref="AB27:AB30" si="10">Y27+Z27</f>
        <v>1542.6</v>
      </c>
      <c r="AC27" s="20">
        <f>IF(M27&gt;0,M27/(I27*G27*B27),"")</f>
        <v>1.031270500765362</v>
      </c>
      <c r="AD27" s="36">
        <f>IF(AND(H27&gt;0,I27&gt;0),(L27/H27)/I27,"")</f>
        <v>0.25546468401486988</v>
      </c>
      <c r="AE27" s="56">
        <f>IF(AND(G27&gt;0,I27&gt;0),(M27/G27)/I27,"")</f>
        <v>0.17531598513011154</v>
      </c>
      <c r="AF27" s="37">
        <f t="shared" si="8"/>
        <v>0.43078066914498203</v>
      </c>
      <c r="AG27" s="93" t="str">
        <f>IF(J27&gt;0,(J27/(J27+R27+S27)),"")</f>
        <v/>
      </c>
      <c r="AH27" s="85">
        <f t="shared" ref="AH27:AH30" si="11">IF(P27&gt;0,(T27+U27+V27+W27-S27)/(P27),"")</f>
        <v>3.2308256880733945</v>
      </c>
      <c r="AI27" s="85">
        <f>IF(P27&gt;0,(R27+J27)/(P27),"")</f>
        <v>3.4836697247706421</v>
      </c>
      <c r="AJ27" s="38">
        <f t="shared" si="9"/>
        <v>3.9579212371875561</v>
      </c>
      <c r="AK27" s="86">
        <f>IF((P27-Z27)&gt;0,(R27+J27)/(P27-Z27),"")</f>
        <v>4.2676676856680453</v>
      </c>
      <c r="AL27" s="76">
        <f>$D$3*(P27-Z27)+$D$4*Q27</f>
        <v>4003.92</v>
      </c>
      <c r="AM27" s="78">
        <f ca="1">INDIRECT("AL" &amp; ROW($AL$20)+$C$25)-AL27</f>
        <v>470.88000000000011</v>
      </c>
      <c r="AN27" s="84">
        <f ca="1">AM27/INDIRECT("$AL$" &amp; ROW($AL$20)+$C$25)</f>
        <v>0.10522928399034595</v>
      </c>
      <c r="AO27" s="77">
        <f>($D$6*(P27-Z27)+$D$8*Q27)/10^6</f>
        <v>1.2456640000000001</v>
      </c>
      <c r="AP27" s="77">
        <f ca="1">INDIRECT("AO"&amp; ROW($AL$20)+$C$25)-AO27</f>
        <v>0.14649599999999996</v>
      </c>
      <c r="AQ27" s="88">
        <f ca="1">AP27/INDIRECT("$AO" &amp; ROW($AL$20) + $C$25)</f>
        <v>0.10522928399034591</v>
      </c>
      <c r="AR27" s="41">
        <f ca="1">($C27 * (1+$H$10)-$D27) + ((1+$D$16)^$D$15 - 1) / ((1 + $D$16)^$D$15 * $D$16) * ($E27 + (P27-Z27) * $H$11 + Q27 * $H$12 - X27 * $H$14) - $F27 / ( 1 + $D$16)^$D$15</f>
        <v>19160.892083631705</v>
      </c>
      <c r="AS27" s="42">
        <f ca="1">AR27 / (((1+$D$16)^$D$15 - 1) / ((1 + $D$16)^$D$15 * $D$16)) / (T27+U27)</f>
        <v>0.12498514761170451</v>
      </c>
      <c r="AT27" s="43">
        <f ca="1">($C27 * (1+$H$10)-$D27) + ((1+$D$16)^$D$15 - 1) / ((1 + $D$16)^$D$15 * $D$16) * ($E27 + ((P27-Z27) + $D$9-Y27 )* $H$11 + Q27 * $H$12 - X27 * $H$14) - $F27 / ( 1 + $D$16)^$D$15</f>
        <v>26269.635497119038</v>
      </c>
      <c r="AU27" s="44">
        <f ca="1">AT27 / (((1+$D$16)^$D$15 - 1) / ((1 + $D$16)^$D$15 * $D$16)) / (T27+U27 + $D$9)</f>
        <v>0.13345800066997934</v>
      </c>
    </row>
    <row r="28" spans="1:47" ht="18.8" customHeight="1" thickBot="1" x14ac:dyDescent="0.35">
      <c r="A28" s="74"/>
      <c r="B28" s="60"/>
      <c r="C28" s="61"/>
      <c r="D28" s="61"/>
      <c r="E28" s="61"/>
      <c r="F28" s="61"/>
      <c r="G28" s="61"/>
      <c r="H28" s="62"/>
      <c r="I28" s="3"/>
      <c r="J28" s="3"/>
      <c r="K28" s="3"/>
      <c r="L28" s="6">
        <f>J28+K28</f>
        <v>0</v>
      </c>
      <c r="M28" s="1"/>
      <c r="N28" s="1"/>
      <c r="O28" s="1"/>
      <c r="P28" s="52">
        <f>N28+O28</f>
        <v>0</v>
      </c>
      <c r="Q28" s="53"/>
      <c r="R28" s="53"/>
      <c r="S28" s="53"/>
      <c r="T28" s="53"/>
      <c r="U28" s="53"/>
      <c r="V28" s="53"/>
      <c r="W28" s="53"/>
      <c r="X28" s="6">
        <f>M28-Y28-Z28</f>
        <v>0</v>
      </c>
      <c r="Y28" s="1"/>
      <c r="Z28" s="14"/>
      <c r="AA28" s="80"/>
      <c r="AB28" s="8">
        <f t="shared" si="10"/>
        <v>0</v>
      </c>
      <c r="AC28" s="20" t="str">
        <f>IF(M28&gt;0,M28/(I28*G28*B28),"")</f>
        <v/>
      </c>
      <c r="AD28" s="36" t="str">
        <f>IF(AND(H28&gt;0,I28&gt;0),(L28/H28)/I28,"")</f>
        <v/>
      </c>
      <c r="AE28" s="36" t="str">
        <f>IF(AND(G28&gt;0,I28&gt;0),(M28/G28)/I28,"")</f>
        <v/>
      </c>
      <c r="AF28" s="37">
        <f t="shared" si="8"/>
        <v>0</v>
      </c>
      <c r="AG28" s="36" t="str">
        <f>IF(J28&gt;0,(J28/(J28+R28+S28)),"")</f>
        <v/>
      </c>
      <c r="AH28" s="38" t="str">
        <f t="shared" si="11"/>
        <v/>
      </c>
      <c r="AI28" s="85" t="str">
        <f>IF(P28&gt;0,(R28+J28)/(P28),"")</f>
        <v/>
      </c>
      <c r="AJ28" s="38" t="str">
        <f t="shared" si="9"/>
        <v/>
      </c>
      <c r="AK28" s="86" t="str">
        <f>IF((P28-Z28)&gt;0,(R28+J28)/(P28-Z28),"")</f>
        <v/>
      </c>
      <c r="AL28" s="76">
        <f>$D$3*(P28-Z28)+$D$4*Q28</f>
        <v>0</v>
      </c>
      <c r="AM28" s="78">
        <f ca="1">INDIRECT("AL" &amp; ROW($AL$20)+$C$25)-AL28</f>
        <v>4474.8</v>
      </c>
      <c r="AN28" s="84">
        <f ca="1">AM28/INDIRECT("$AL$" &amp; ROW($AL$20)+$C$25)</f>
        <v>1</v>
      </c>
      <c r="AO28" s="77">
        <f>($D$6*(P28-Z28)+$D$8*Q28)/10^6</f>
        <v>0</v>
      </c>
      <c r="AP28" s="77">
        <f ca="1">INDIRECT("AO"&amp; ROW($AL$20)+$C$25)-AO28</f>
        <v>1.3921600000000001</v>
      </c>
      <c r="AQ28" s="88">
        <f ca="1">AP28/INDIRECT("$AO" &amp; ROW($AL$20) + $C$25)</f>
        <v>1</v>
      </c>
      <c r="AR28" s="41">
        <f ca="1">($C28 * (1+$H$10)-$D28) + ((1+$D$16)^$D$15 - 1) / ((1 + $D$16)^$D$15 * $D$16) * ($E28 + (P28-Z28) * $H$11 + Q28 * $H$12 - X28 * $H$14) - $F28 / ( 1 + $D$16)^$D$15</f>
        <v>0</v>
      </c>
      <c r="AS28" s="42" t="e">
        <f ca="1">AR28 / (((1+$D$16)^$D$15 - 1) / ((1 + $D$16)^$D$15 * $D$16)) / (T28+U28)</f>
        <v>#DIV/0!</v>
      </c>
      <c r="AT28" s="43">
        <f ca="1">($C28 * (1+$H$10)-$D28) + ((1+$D$16)^$D$15 - 1) / ((1 + $D$16)^$D$15 * $D$16) * ($E28 + ((P28-Z28) + $D$9-Y28 )* $H$11 + Q28 * $H$12 - X28 * $H$14) - $F28 / ( 1 + $D$16)^$D$15</f>
        <v>12189.203383894612</v>
      </c>
      <c r="AU28" s="44">
        <f ca="1">AT28 / (((1+$D$16)^$D$15 - 1) / ((1 + $D$16)^$D$15 * $D$16)) / (T28+U28 + $D$9)</f>
        <v>0.28000000000000003</v>
      </c>
    </row>
    <row r="29" spans="1:47" ht="18.8" customHeight="1" thickBot="1" x14ac:dyDescent="0.35">
      <c r="A29" s="74"/>
      <c r="B29" s="60"/>
      <c r="C29" s="61"/>
      <c r="D29" s="61"/>
      <c r="E29" s="61"/>
      <c r="F29" s="61"/>
      <c r="G29" s="61"/>
      <c r="H29" s="62"/>
      <c r="I29" s="3"/>
      <c r="J29" s="3"/>
      <c r="K29" s="3"/>
      <c r="L29" s="6">
        <f>J29+K29</f>
        <v>0</v>
      </c>
      <c r="M29" s="1"/>
      <c r="N29" s="1"/>
      <c r="O29" s="1"/>
      <c r="P29" s="52">
        <f>N29+O29</f>
        <v>0</v>
      </c>
      <c r="Q29" s="53"/>
      <c r="R29" s="53"/>
      <c r="S29" s="53"/>
      <c r="T29" s="53"/>
      <c r="U29" s="53"/>
      <c r="V29" s="53"/>
      <c r="W29" s="53"/>
      <c r="X29" s="6">
        <f>M29-Y29-Z29</f>
        <v>0</v>
      </c>
      <c r="Y29" s="1"/>
      <c r="Z29" s="14"/>
      <c r="AA29" s="80"/>
      <c r="AB29" s="8">
        <f t="shared" si="10"/>
        <v>0</v>
      </c>
      <c r="AC29" s="20" t="str">
        <f>IF(M29&gt;0,M29/(I29*G29*B29),"")</f>
        <v/>
      </c>
      <c r="AD29" s="36" t="str">
        <f>IF(AND(H29&gt;0,I29&gt;0),(L29/H29)/I29,"")</f>
        <v/>
      </c>
      <c r="AE29" s="36" t="str">
        <f>IF(AND(G29&gt;0,I29&gt;0),(M29/G29)/I29,"")</f>
        <v/>
      </c>
      <c r="AF29" s="37">
        <f t="shared" si="8"/>
        <v>0</v>
      </c>
      <c r="AG29" s="36" t="str">
        <f>IF(J29&gt;0,(J29/(J29+R29+S29)),"")</f>
        <v/>
      </c>
      <c r="AH29" s="38" t="str">
        <f t="shared" si="11"/>
        <v/>
      </c>
      <c r="AI29" s="85" t="str">
        <f>IF(P29&gt;0,(R29+J29)/(P29),"")</f>
        <v/>
      </c>
      <c r="AJ29" s="38" t="str">
        <f t="shared" si="9"/>
        <v/>
      </c>
      <c r="AK29" s="86" t="str">
        <f>IF((P29-Z29)&gt;0,(R29+J29)/(P29-Z29),"")</f>
        <v/>
      </c>
      <c r="AL29" s="76">
        <f>$D$3*(P29-Z29)+$D$4*Q29</f>
        <v>0</v>
      </c>
      <c r="AM29" s="78">
        <f ca="1">INDIRECT("AL" &amp; ROW($AL$20)+$C$25)-AL29</f>
        <v>4474.8</v>
      </c>
      <c r="AN29" s="84">
        <f ca="1">AM29/INDIRECT("$AL$" &amp; ROW($AL$20)+$C$25)</f>
        <v>1</v>
      </c>
      <c r="AO29" s="77">
        <f>($D$6*(P29-Z29)+$D$8*Q29)/10^6</f>
        <v>0</v>
      </c>
      <c r="AP29" s="77">
        <f ca="1">INDIRECT("AO"&amp; ROW($AL$20)+$C$25)-AO29</f>
        <v>1.3921600000000001</v>
      </c>
      <c r="AQ29" s="88">
        <f ca="1">AP29/INDIRECT("$AO" &amp; ROW($AL$20) + $C$25)</f>
        <v>1</v>
      </c>
      <c r="AR29" s="41">
        <f ca="1">($C29 * (1+$H$10)-$D29) + ((1+$D$16)^$D$15 - 1) / ((1 + $D$16)^$D$15 * $D$16) * ($E29 + (P29-Z29) * $H$11 + Q29 * $H$12 - X29 * $H$14) - $F29 / ( 1 + $D$16)^$D$15</f>
        <v>0</v>
      </c>
      <c r="AS29" s="42" t="e">
        <f ca="1">AR29 / (((1+$D$16)^$D$15 - 1) / ((1 + $D$16)^$D$15 * $D$16)) / (T29+U29)</f>
        <v>#DIV/0!</v>
      </c>
      <c r="AT29" s="43">
        <f ca="1">($C29 * (1+$H$10)-$D29) + ((1+$D$16)^$D$15 - 1) / ((1 + $D$16)^$D$15 * $D$16) * ($E29 + ((P29-Z29) + $D$9-Y29 )* $H$11 + Q29 * $H$12 - X29 * $H$14) - $F29 / ( 1 + $D$16)^$D$15</f>
        <v>12189.203383894612</v>
      </c>
      <c r="AU29" s="44">
        <f ca="1">AT29 / (((1+$D$16)^$D$15 - 1) / ((1 + $D$16)^$D$15 * $D$16)) / (T29+U29 + $D$9)</f>
        <v>0.28000000000000003</v>
      </c>
    </row>
    <row r="30" spans="1:47" ht="18.8" customHeight="1" thickBot="1" x14ac:dyDescent="0.35">
      <c r="A30" s="74"/>
      <c r="B30" s="64"/>
      <c r="C30" s="65"/>
      <c r="D30" s="65"/>
      <c r="E30" s="65"/>
      <c r="F30" s="65"/>
      <c r="G30" s="65"/>
      <c r="H30" s="66"/>
      <c r="I30" s="16"/>
      <c r="J30" s="16"/>
      <c r="K30" s="16"/>
      <c r="L30" s="17">
        <f>J30+K30</f>
        <v>0</v>
      </c>
      <c r="M30" s="18"/>
      <c r="N30" s="18"/>
      <c r="O30" s="18"/>
      <c r="P30" s="52">
        <f>N30+O30</f>
        <v>0</v>
      </c>
      <c r="Q30" s="55"/>
      <c r="R30" s="55"/>
      <c r="S30" s="55"/>
      <c r="T30" s="55"/>
      <c r="U30" s="55"/>
      <c r="V30" s="55"/>
      <c r="W30" s="55"/>
      <c r="X30" s="6">
        <f>M30-Y30-Z30</f>
        <v>0</v>
      </c>
      <c r="Y30" s="18"/>
      <c r="Z30" s="19"/>
      <c r="AA30" s="80"/>
      <c r="AB30" s="8">
        <f t="shared" si="10"/>
        <v>0</v>
      </c>
      <c r="AC30" s="20" t="str">
        <f>IF(M30&gt;0,M30/(I30*G30*B30),"")</f>
        <v/>
      </c>
      <c r="AD30" s="36" t="str">
        <f>IF(AND(H30&gt;0,I30&gt;0),(L30/H30)/I30,"")</f>
        <v/>
      </c>
      <c r="AE30" s="36" t="str">
        <f>IF(AND(G30&gt;0,I30&gt;0),(M30/G30)/I30,"")</f>
        <v/>
      </c>
      <c r="AF30" s="37">
        <f t="shared" si="8"/>
        <v>0</v>
      </c>
      <c r="AG30" s="36" t="str">
        <f>IF(J30&gt;0,(J30/(J30+R30+S30)),"")</f>
        <v/>
      </c>
      <c r="AH30" s="38" t="str">
        <f t="shared" si="11"/>
        <v/>
      </c>
      <c r="AI30" s="85" t="str">
        <f>IF(P30&gt;0,(R30+J30)/(P30),"")</f>
        <v/>
      </c>
      <c r="AJ30" s="38" t="str">
        <f t="shared" si="9"/>
        <v/>
      </c>
      <c r="AK30" s="86" t="str">
        <f>IF((P30-Z30)&gt;0,(R30+J30)/(P30-Z30),"")</f>
        <v/>
      </c>
      <c r="AL30" s="76">
        <f>$D$3*(P30-Z30)+$D$4*Q30</f>
        <v>0</v>
      </c>
      <c r="AM30" s="78">
        <f ca="1">INDIRECT("AL" &amp; ROW($AL$20)+$C$25)-AL30</f>
        <v>4474.8</v>
      </c>
      <c r="AN30" s="84">
        <f ca="1">AM30/INDIRECT("$AL$" &amp; ROW($AL$20)+$C$25)</f>
        <v>1</v>
      </c>
      <c r="AO30" s="77">
        <f>($D$6*(P30-Z30)+$D$8*Q30)/10^6</f>
        <v>0</v>
      </c>
      <c r="AP30" s="77">
        <f ca="1">INDIRECT("AO"&amp; ROW($AL$20)+$C$25)-AO30</f>
        <v>1.3921600000000001</v>
      </c>
      <c r="AQ30" s="88">
        <f ca="1">AP30/INDIRECT("$AO" &amp; ROW($AL$20) + $C$25)</f>
        <v>1</v>
      </c>
      <c r="AR30" s="41">
        <f ca="1">($C30 * (1+$H$10)-$D30) + ((1+$D$16)^$D$15 - 1) / ((1 + $D$16)^$D$15 * $D$16) * ($E30 + (P30-Z30) * $H$11 + Q30 * $H$12 - X30 * $H$14) - $F30 / ( 1 + $D$16)^$D$15</f>
        <v>0</v>
      </c>
      <c r="AS30" s="42" t="e">
        <f ca="1">AR30 / (((1+$D$16)^$D$15 - 1) / ((1 + $D$16)^$D$15 * $D$16)) / (T30+U30)</f>
        <v>#DIV/0!</v>
      </c>
      <c r="AT30" s="43">
        <f ca="1">($C30 * (1+$H$10)-$D30) + ((1+$D$16)^$D$15 - 1) / ((1 + $D$16)^$D$15 * $D$16) * ($E30 + ((P30-Z30) + $D$9-Y30 )* $H$11 + Q30 * $H$12 - X30 * $H$14) - $F30 / ( 1 + $D$16)^$D$15</f>
        <v>12189.203383894612</v>
      </c>
      <c r="AU30" s="44">
        <f ca="1">AT30 / (((1+$D$16)^$D$15 - 1) / ((1 + $D$16)^$D$15 * $D$16)) / (T30+U30 + $D$9)</f>
        <v>0.28000000000000003</v>
      </c>
    </row>
  </sheetData>
  <mergeCells count="5">
    <mergeCell ref="AR17:AU17"/>
    <mergeCell ref="AL17:AQ17"/>
    <mergeCell ref="AA17:AK17"/>
    <mergeCell ref="C17:F17"/>
    <mergeCell ref="G17:Z17"/>
  </mergeCells>
  <conditionalFormatting sqref="AM26:AN30">
    <cfRule type="cellIs" dxfId="2" priority="3" operator="lessThan">
      <formula>0</formula>
    </cfRule>
  </conditionalFormatting>
  <conditionalFormatting sqref="AP26:AP30">
    <cfRule type="cellIs" dxfId="1" priority="2" operator="lessThan">
      <formula>0</formula>
    </cfRule>
  </conditionalFormatting>
  <conditionalFormatting sqref="AQ26:AQ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739471</xdr:colOff>
                    <xdr:row>0</xdr:row>
                    <xdr:rowOff>15903</xdr:rowOff>
                  </from>
                  <to>
                    <xdr:col>3</xdr:col>
                    <xdr:colOff>0</xdr:colOff>
                    <xdr:row>1</xdr:row>
                    <xdr:rowOff>174929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1184744</xdr:colOff>
                    <xdr:row>7</xdr:row>
                    <xdr:rowOff>159026</xdr:rowOff>
                  </from>
                  <to>
                    <xdr:col>7</xdr:col>
                    <xdr:colOff>31805</xdr:colOff>
                    <xdr:row>9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1</xdr:col>
                    <xdr:colOff>1447137</xdr:colOff>
                    <xdr:row>23</xdr:row>
                    <xdr:rowOff>222637</xdr:rowOff>
                  </from>
                  <to>
                    <xdr:col>3</xdr:col>
                    <xdr:colOff>993913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2022-04-22T12:49:12Z</dcterms:modified>
</cp:coreProperties>
</file>